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0956" windowWidth="15360" windowHeight="1740" tabRatio="927" activeTab="6"/>
  </bookViews>
  <sheets>
    <sheet name="Background" sheetId="24" r:id="rId1"/>
    <sheet name="Inputs_Summary" sheetId="20" r:id="rId2"/>
    <sheet name="HC-BC" sheetId="1" r:id="rId3"/>
    <sheet name="HC-UCBC" sheetId="23" r:id="rId4"/>
    <sheet name="HC-CB" sheetId="2" r:id="rId5"/>
    <sheet name="O-LC_DS" sheetId="5" r:id="rId6"/>
    <sheet name="O-DC_DS" sheetId="19" r:id="rId7"/>
    <sheet name="O-LC_DS-Exp" sheetId="21" r:id="rId8"/>
    <sheet name="O-BC-LowD" sheetId="15" r:id="rId9"/>
    <sheet name="O-UCBC-LowD" sheetId="18" r:id="rId10"/>
    <sheet name="O-LC_DS-LowD" sheetId="17" r:id="rId11"/>
    <sheet name="NuclearPhasing" sheetId="22" r:id="rId12"/>
  </sheets>
  <definedNames>
    <definedName name="solver_adj" localSheetId="2" hidden="1">'HC-BC'!$C$171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0</definedName>
    <definedName name="solver_nwt" localSheetId="2" hidden="1">1</definedName>
    <definedName name="solver_opt" localSheetId="2" hidden="1">'HC-BC'!$T$176</definedName>
    <definedName name="solver_pre" localSheetId="2" hidden="1">0.000001</definedName>
    <definedName name="solver_rbv" localSheetId="2" hidden="1">1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3</definedName>
    <definedName name="solver_val" localSheetId="2" hidden="1">121.485</definedName>
    <definedName name="solver_ver" localSheetId="2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2" i="20" l="1"/>
  <c r="T246" i="23" l="1"/>
  <c r="T245" i="23"/>
  <c r="T244" i="23"/>
  <c r="T243" i="23"/>
  <c r="U246" i="23"/>
  <c r="V246" i="23" s="1"/>
  <c r="U245" i="23"/>
  <c r="V245" i="23" s="1"/>
  <c r="U244" i="23"/>
  <c r="V244" i="23" s="1"/>
  <c r="U243" i="23"/>
  <c r="V243" i="23" s="1"/>
  <c r="V215" i="23"/>
  <c r="V214" i="23"/>
  <c r="V213" i="23"/>
  <c r="V212" i="23"/>
  <c r="U215" i="23"/>
  <c r="U214" i="23"/>
  <c r="U213" i="23"/>
  <c r="U212" i="23"/>
  <c r="X55" i="23"/>
  <c r="X54" i="23"/>
  <c r="X53" i="23"/>
  <c r="X52" i="23"/>
  <c r="O49" i="19" l="1"/>
  <c r="N49" i="19"/>
  <c r="L49" i="19"/>
  <c r="K49" i="19"/>
  <c r="J49" i="19"/>
  <c r="I49" i="19"/>
  <c r="H49" i="19"/>
  <c r="G49" i="19"/>
  <c r="F49" i="19"/>
  <c r="E49" i="19"/>
  <c r="D49" i="19"/>
  <c r="C49" i="19"/>
  <c r="O48" i="19"/>
  <c r="N48" i="19"/>
  <c r="L48" i="19"/>
  <c r="K48" i="19"/>
  <c r="J48" i="19"/>
  <c r="I48" i="19"/>
  <c r="H48" i="19"/>
  <c r="G48" i="19"/>
  <c r="F48" i="19"/>
  <c r="E48" i="19"/>
  <c r="D48" i="19"/>
  <c r="C48" i="19"/>
  <c r="O47" i="19"/>
  <c r="N47" i="19"/>
  <c r="L47" i="19"/>
  <c r="K47" i="19"/>
  <c r="J47" i="19"/>
  <c r="I47" i="19"/>
  <c r="H47" i="19"/>
  <c r="G47" i="19"/>
  <c r="F47" i="19"/>
  <c r="E47" i="19"/>
  <c r="D47" i="19"/>
  <c r="C47" i="19"/>
  <c r="O46" i="19"/>
  <c r="N46" i="19"/>
  <c r="L46" i="19"/>
  <c r="K46" i="19"/>
  <c r="J46" i="19"/>
  <c r="I46" i="19"/>
  <c r="H46" i="19"/>
  <c r="G46" i="19"/>
  <c r="F46" i="19"/>
  <c r="E46" i="19"/>
  <c r="D46" i="19"/>
  <c r="O43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O49" i="21"/>
  <c r="N49" i="21"/>
  <c r="L49" i="21"/>
  <c r="K49" i="21"/>
  <c r="J49" i="21"/>
  <c r="I49" i="21"/>
  <c r="H49" i="21"/>
  <c r="G49" i="21"/>
  <c r="F49" i="21"/>
  <c r="E49" i="21"/>
  <c r="D49" i="21"/>
  <c r="C49" i="21"/>
  <c r="O48" i="21"/>
  <c r="N48" i="21"/>
  <c r="L48" i="21"/>
  <c r="K48" i="21"/>
  <c r="J48" i="21"/>
  <c r="I48" i="21"/>
  <c r="H48" i="21"/>
  <c r="G48" i="21"/>
  <c r="F48" i="21"/>
  <c r="E48" i="21"/>
  <c r="D48" i="21"/>
  <c r="C48" i="21"/>
  <c r="O47" i="21"/>
  <c r="N47" i="21"/>
  <c r="L47" i="21"/>
  <c r="K47" i="21"/>
  <c r="J47" i="21"/>
  <c r="I47" i="21"/>
  <c r="H47" i="21"/>
  <c r="G47" i="21"/>
  <c r="F47" i="21"/>
  <c r="E47" i="21"/>
  <c r="D47" i="21"/>
  <c r="C47" i="21"/>
  <c r="O46" i="21"/>
  <c r="N46" i="21"/>
  <c r="L46" i="21"/>
  <c r="K46" i="21"/>
  <c r="J46" i="21"/>
  <c r="I46" i="21"/>
  <c r="H46" i="21"/>
  <c r="G46" i="21"/>
  <c r="F46" i="21"/>
  <c r="E46" i="21"/>
  <c r="D46" i="21"/>
  <c r="O43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O42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O41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O40" i="21"/>
  <c r="N40" i="21"/>
  <c r="M40" i="21"/>
  <c r="L40" i="21"/>
  <c r="K40" i="21"/>
  <c r="J40" i="21"/>
  <c r="I40" i="21"/>
  <c r="H40" i="21"/>
  <c r="G40" i="21"/>
  <c r="F40" i="21"/>
  <c r="E40" i="21"/>
  <c r="D40" i="21"/>
  <c r="O49" i="17"/>
  <c r="N49" i="17"/>
  <c r="L49" i="17"/>
  <c r="K49" i="17"/>
  <c r="J49" i="17"/>
  <c r="I49" i="17"/>
  <c r="H49" i="17"/>
  <c r="G49" i="17"/>
  <c r="F49" i="17"/>
  <c r="E49" i="17"/>
  <c r="D49" i="17"/>
  <c r="C49" i="17"/>
  <c r="O48" i="17"/>
  <c r="N48" i="17"/>
  <c r="L48" i="17"/>
  <c r="K48" i="17"/>
  <c r="J48" i="17"/>
  <c r="I48" i="17"/>
  <c r="H48" i="17"/>
  <c r="G48" i="17"/>
  <c r="F48" i="17"/>
  <c r="E48" i="17"/>
  <c r="D48" i="17"/>
  <c r="C48" i="17"/>
  <c r="O47" i="17"/>
  <c r="N47" i="17"/>
  <c r="L47" i="17"/>
  <c r="K47" i="17"/>
  <c r="J47" i="17"/>
  <c r="I47" i="17"/>
  <c r="H47" i="17"/>
  <c r="G47" i="17"/>
  <c r="F47" i="17"/>
  <c r="E47" i="17"/>
  <c r="D47" i="17"/>
  <c r="C47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C35" i="15"/>
  <c r="D35" i="15"/>
  <c r="E35" i="15"/>
  <c r="F35" i="15"/>
  <c r="G35" i="15"/>
  <c r="H35" i="15"/>
  <c r="I35" i="15"/>
  <c r="J35" i="15"/>
  <c r="K35" i="15"/>
  <c r="L35" i="15"/>
  <c r="M35" i="15"/>
  <c r="N35" i="15"/>
  <c r="O35" i="15"/>
  <c r="C36" i="15"/>
  <c r="D36" i="15"/>
  <c r="E36" i="15"/>
  <c r="F36" i="15"/>
  <c r="G36" i="15"/>
  <c r="H36" i="15"/>
  <c r="I36" i="15"/>
  <c r="J36" i="15"/>
  <c r="K36" i="15"/>
  <c r="L36" i="15"/>
  <c r="M36" i="15"/>
  <c r="N36" i="15"/>
  <c r="O36" i="15"/>
  <c r="C37" i="15"/>
  <c r="D37" i="15"/>
  <c r="E37" i="15"/>
  <c r="F37" i="15"/>
  <c r="G37" i="15"/>
  <c r="H37" i="15"/>
  <c r="I37" i="15"/>
  <c r="J37" i="15"/>
  <c r="K37" i="15"/>
  <c r="L37" i="15"/>
  <c r="M37" i="15"/>
  <c r="N37" i="15"/>
  <c r="O37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O40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O41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O42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O43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O46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O47" i="15"/>
  <c r="C48" i="15"/>
  <c r="D48" i="15"/>
  <c r="E48" i="15"/>
  <c r="F48" i="15"/>
  <c r="G48" i="15"/>
  <c r="H48" i="15"/>
  <c r="I48" i="15"/>
  <c r="J48" i="15"/>
  <c r="K48" i="15"/>
  <c r="L48" i="15"/>
  <c r="M48" i="15"/>
  <c r="N48" i="15"/>
  <c r="O48" i="15"/>
  <c r="C49" i="15"/>
  <c r="D49" i="15"/>
  <c r="E49" i="15"/>
  <c r="F49" i="15"/>
  <c r="G49" i="15"/>
  <c r="H49" i="15"/>
  <c r="I49" i="15"/>
  <c r="J49" i="15"/>
  <c r="K49" i="15"/>
  <c r="L49" i="15"/>
  <c r="M49" i="15"/>
  <c r="N49" i="15"/>
  <c r="O49" i="15"/>
  <c r="C35" i="18"/>
  <c r="D35" i="18"/>
  <c r="E35" i="18"/>
  <c r="F35" i="18"/>
  <c r="G35" i="18"/>
  <c r="H35" i="18"/>
  <c r="I35" i="18"/>
  <c r="J35" i="18"/>
  <c r="K35" i="18"/>
  <c r="L35" i="18"/>
  <c r="M35" i="18"/>
  <c r="N35" i="18"/>
  <c r="O35" i="18"/>
  <c r="C36" i="18"/>
  <c r="D36" i="18"/>
  <c r="E36" i="18"/>
  <c r="F36" i="18"/>
  <c r="G36" i="18"/>
  <c r="H36" i="18"/>
  <c r="I36" i="18"/>
  <c r="J36" i="18"/>
  <c r="K36" i="18"/>
  <c r="L36" i="18"/>
  <c r="M36" i="18"/>
  <c r="N36" i="18"/>
  <c r="O36" i="18"/>
  <c r="C37" i="18"/>
  <c r="D37" i="18"/>
  <c r="E37" i="18"/>
  <c r="F37" i="18"/>
  <c r="G37" i="18"/>
  <c r="H37" i="18"/>
  <c r="I37" i="18"/>
  <c r="J37" i="18"/>
  <c r="K37" i="18"/>
  <c r="L37" i="18"/>
  <c r="M37" i="18"/>
  <c r="N37" i="18"/>
  <c r="O37" i="18"/>
  <c r="C40" i="18"/>
  <c r="D40" i="18"/>
  <c r="E40" i="18"/>
  <c r="F40" i="18"/>
  <c r="G40" i="18"/>
  <c r="H40" i="18"/>
  <c r="I40" i="18"/>
  <c r="J40" i="18"/>
  <c r="K40" i="18"/>
  <c r="L40" i="18"/>
  <c r="M40" i="18"/>
  <c r="N40" i="18"/>
  <c r="O40" i="18"/>
  <c r="C41" i="18"/>
  <c r="D41" i="18"/>
  <c r="E41" i="18"/>
  <c r="F41" i="18"/>
  <c r="G41" i="18"/>
  <c r="H41" i="18"/>
  <c r="I41" i="18"/>
  <c r="J41" i="18"/>
  <c r="K41" i="18"/>
  <c r="L41" i="18"/>
  <c r="M41" i="18"/>
  <c r="N41" i="18"/>
  <c r="O41" i="18"/>
  <c r="C42" i="18"/>
  <c r="D42" i="18"/>
  <c r="E42" i="18"/>
  <c r="F42" i="18"/>
  <c r="G42" i="18"/>
  <c r="H42" i="18"/>
  <c r="I42" i="18"/>
  <c r="J42" i="18"/>
  <c r="K42" i="18"/>
  <c r="L42" i="18"/>
  <c r="M42" i="18"/>
  <c r="N42" i="18"/>
  <c r="O42" i="18"/>
  <c r="C43" i="18"/>
  <c r="D43" i="18"/>
  <c r="E43" i="18"/>
  <c r="F43" i="18"/>
  <c r="G43" i="18"/>
  <c r="H43" i="18"/>
  <c r="I43" i="18"/>
  <c r="J43" i="18"/>
  <c r="K43" i="18"/>
  <c r="L43" i="18"/>
  <c r="M43" i="18"/>
  <c r="N43" i="18"/>
  <c r="O43" i="18"/>
  <c r="C46" i="18"/>
  <c r="D46" i="18"/>
  <c r="E46" i="18"/>
  <c r="F46" i="18"/>
  <c r="G46" i="18"/>
  <c r="H46" i="18"/>
  <c r="I46" i="18"/>
  <c r="J46" i="18"/>
  <c r="K46" i="18"/>
  <c r="L46" i="18"/>
  <c r="M46" i="18"/>
  <c r="N46" i="18"/>
  <c r="O46" i="18"/>
  <c r="C47" i="18"/>
  <c r="D47" i="18"/>
  <c r="E47" i="18"/>
  <c r="F47" i="18"/>
  <c r="G47" i="18"/>
  <c r="H47" i="18"/>
  <c r="I47" i="18"/>
  <c r="J47" i="18"/>
  <c r="K47" i="18"/>
  <c r="L47" i="18"/>
  <c r="M47" i="18"/>
  <c r="N47" i="18"/>
  <c r="O47" i="18"/>
  <c r="C48" i="18"/>
  <c r="D48" i="18"/>
  <c r="E48" i="18"/>
  <c r="F48" i="18"/>
  <c r="G48" i="18"/>
  <c r="H48" i="18"/>
  <c r="I48" i="18"/>
  <c r="J48" i="18"/>
  <c r="K48" i="18"/>
  <c r="L48" i="18"/>
  <c r="M48" i="18"/>
  <c r="N48" i="18"/>
  <c r="O48" i="18"/>
  <c r="C49" i="18"/>
  <c r="D49" i="18"/>
  <c r="E49" i="18"/>
  <c r="F49" i="18"/>
  <c r="G49" i="18"/>
  <c r="H49" i="18"/>
  <c r="I49" i="18"/>
  <c r="J49" i="18"/>
  <c r="K49" i="18"/>
  <c r="L49" i="18"/>
  <c r="M49" i="18"/>
  <c r="N49" i="18"/>
  <c r="O49" i="18"/>
  <c r="C40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O46" i="17"/>
  <c r="C46" i="21"/>
  <c r="C40" i="21"/>
  <c r="O37" i="21"/>
  <c r="N37" i="21"/>
  <c r="M37" i="21"/>
  <c r="L37" i="21"/>
  <c r="K37" i="21"/>
  <c r="J37" i="21"/>
  <c r="I37" i="21"/>
  <c r="H37" i="21"/>
  <c r="G37" i="21"/>
  <c r="F37" i="21"/>
  <c r="E37" i="21"/>
  <c r="D37" i="21"/>
  <c r="C37" i="21"/>
  <c r="O36" i="21"/>
  <c r="N36" i="21"/>
  <c r="M36" i="21"/>
  <c r="L36" i="21"/>
  <c r="K36" i="21"/>
  <c r="J36" i="21"/>
  <c r="I36" i="21"/>
  <c r="H36" i="21"/>
  <c r="G36" i="21"/>
  <c r="F36" i="21"/>
  <c r="E36" i="21"/>
  <c r="D36" i="21"/>
  <c r="C36" i="21"/>
  <c r="O35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C46" i="19"/>
  <c r="C40" i="19"/>
  <c r="C35" i="19"/>
  <c r="O49" i="5"/>
  <c r="N49" i="5"/>
  <c r="L49" i="5"/>
  <c r="K49" i="5"/>
  <c r="J49" i="5"/>
  <c r="I49" i="5"/>
  <c r="H49" i="5"/>
  <c r="G49" i="5"/>
  <c r="F49" i="5"/>
  <c r="E49" i="5"/>
  <c r="D49" i="5"/>
  <c r="C49" i="5"/>
  <c r="O48" i="5"/>
  <c r="N48" i="5"/>
  <c r="L48" i="5"/>
  <c r="K48" i="5"/>
  <c r="J48" i="5"/>
  <c r="I48" i="5"/>
  <c r="H48" i="5"/>
  <c r="G48" i="5"/>
  <c r="F48" i="5"/>
  <c r="E48" i="5"/>
  <c r="D48" i="5"/>
  <c r="C48" i="5"/>
  <c r="O47" i="5"/>
  <c r="N47" i="5"/>
  <c r="L47" i="5"/>
  <c r="K47" i="5"/>
  <c r="J47" i="5"/>
  <c r="I47" i="5"/>
  <c r="H47" i="5"/>
  <c r="G47" i="5"/>
  <c r="F47" i="5"/>
  <c r="E47" i="5"/>
  <c r="D47" i="5"/>
  <c r="C47" i="5"/>
  <c r="O46" i="5"/>
  <c r="N46" i="5"/>
  <c r="L46" i="5"/>
  <c r="K46" i="5"/>
  <c r="J46" i="5"/>
  <c r="I46" i="5"/>
  <c r="H46" i="5"/>
  <c r="G46" i="5"/>
  <c r="F46" i="5"/>
  <c r="E46" i="5"/>
  <c r="D46" i="5"/>
  <c r="C46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C35" i="23"/>
  <c r="O49" i="23"/>
  <c r="N49" i="23"/>
  <c r="M49" i="23"/>
  <c r="L49" i="23"/>
  <c r="K49" i="23"/>
  <c r="J49" i="23"/>
  <c r="I49" i="23"/>
  <c r="H49" i="23"/>
  <c r="G49" i="23"/>
  <c r="F49" i="23"/>
  <c r="E49" i="23"/>
  <c r="D49" i="23"/>
  <c r="C49" i="23"/>
  <c r="O48" i="23"/>
  <c r="N48" i="23"/>
  <c r="M48" i="23"/>
  <c r="L48" i="23"/>
  <c r="K48" i="23"/>
  <c r="J48" i="23"/>
  <c r="I48" i="23"/>
  <c r="H48" i="23"/>
  <c r="G48" i="23"/>
  <c r="F48" i="23"/>
  <c r="E48" i="23"/>
  <c r="D48" i="23"/>
  <c r="C48" i="23"/>
  <c r="O47" i="23"/>
  <c r="N47" i="23"/>
  <c r="M47" i="23"/>
  <c r="L47" i="23"/>
  <c r="K47" i="23"/>
  <c r="J47" i="23"/>
  <c r="I47" i="23"/>
  <c r="H47" i="23"/>
  <c r="G47" i="23"/>
  <c r="F47" i="23"/>
  <c r="E47" i="23"/>
  <c r="D47" i="23"/>
  <c r="C47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C46" i="23"/>
  <c r="O43" i="23"/>
  <c r="N43" i="23"/>
  <c r="M43" i="23"/>
  <c r="L43" i="23"/>
  <c r="K43" i="23"/>
  <c r="J43" i="23"/>
  <c r="I43" i="23"/>
  <c r="H43" i="23"/>
  <c r="G43" i="23"/>
  <c r="F43" i="23"/>
  <c r="E43" i="23"/>
  <c r="D43" i="23"/>
  <c r="C43" i="23"/>
  <c r="O42" i="23"/>
  <c r="N42" i="23"/>
  <c r="M42" i="23"/>
  <c r="L42" i="23"/>
  <c r="K42" i="23"/>
  <c r="J42" i="23"/>
  <c r="I42" i="23"/>
  <c r="H42" i="23"/>
  <c r="G42" i="23"/>
  <c r="F42" i="23"/>
  <c r="E42" i="23"/>
  <c r="D42" i="23"/>
  <c r="C42" i="23"/>
  <c r="O41" i="23"/>
  <c r="N41" i="23"/>
  <c r="M41" i="23"/>
  <c r="L41" i="23"/>
  <c r="K41" i="23"/>
  <c r="J41" i="23"/>
  <c r="I41" i="23"/>
  <c r="H41" i="23"/>
  <c r="G41" i="23"/>
  <c r="F41" i="23"/>
  <c r="E41" i="23"/>
  <c r="D41" i="23"/>
  <c r="C41" i="23"/>
  <c r="O40" i="23"/>
  <c r="N40" i="23"/>
  <c r="M40" i="23"/>
  <c r="L40" i="23"/>
  <c r="K40" i="23"/>
  <c r="J40" i="23"/>
  <c r="I40" i="23"/>
  <c r="H40" i="23"/>
  <c r="G40" i="23"/>
  <c r="F40" i="23"/>
  <c r="E40" i="23"/>
  <c r="D40" i="23"/>
  <c r="C40" i="23"/>
  <c r="O37" i="23"/>
  <c r="N37" i="23"/>
  <c r="M37" i="23"/>
  <c r="L37" i="23"/>
  <c r="K37" i="23"/>
  <c r="J37" i="23"/>
  <c r="I37" i="23"/>
  <c r="H37" i="23"/>
  <c r="G37" i="23"/>
  <c r="F37" i="23"/>
  <c r="E37" i="23"/>
  <c r="D37" i="23"/>
  <c r="C37" i="23"/>
  <c r="O36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O35" i="23"/>
  <c r="N35" i="23"/>
  <c r="M35" i="23"/>
  <c r="L35" i="23"/>
  <c r="K35" i="23"/>
  <c r="J35" i="23"/>
  <c r="I35" i="23"/>
  <c r="H35" i="23"/>
  <c r="G35" i="23"/>
  <c r="F35" i="23"/>
  <c r="E35" i="23"/>
  <c r="D35" i="23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AF57" i="20"/>
  <c r="AE57" i="20"/>
  <c r="AD57" i="20"/>
  <c r="AC57" i="20"/>
  <c r="AJ56" i="20"/>
  <c r="AH56" i="20"/>
  <c r="AF56" i="20"/>
  <c r="AE56" i="20"/>
  <c r="AD56" i="20"/>
  <c r="AC56" i="20"/>
  <c r="AJ54" i="20"/>
  <c r="AI54" i="20"/>
  <c r="AH54" i="20"/>
  <c r="AF54" i="20"/>
  <c r="AE54" i="20"/>
  <c r="AD54" i="20"/>
  <c r="AC54" i="20"/>
  <c r="AJ53" i="20"/>
  <c r="AI53" i="20"/>
  <c r="AH53" i="20"/>
  <c r="AF53" i="20"/>
  <c r="AE53" i="20"/>
  <c r="AD53" i="20"/>
  <c r="AC53" i="20"/>
  <c r="F77" i="20" l="1"/>
  <c r="F83" i="20" s="1"/>
  <c r="F89" i="20" s="1"/>
  <c r="F95" i="20" s="1"/>
  <c r="F101" i="20" s="1"/>
  <c r="F125" i="20" l="1"/>
  <c r="F131" i="20" s="1"/>
  <c r="F137" i="20" s="1"/>
  <c r="F143" i="20" s="1"/>
  <c r="F149" i="20" s="1"/>
  <c r="F107" i="20"/>
  <c r="F113" i="20" s="1"/>
  <c r="F119" i="20" s="1"/>
  <c r="AK49" i="23" l="1"/>
  <c r="AK48" i="23"/>
  <c r="AK47" i="23"/>
  <c r="AK43" i="23"/>
  <c r="AK42" i="23"/>
  <c r="AK41" i="23"/>
  <c r="AK37" i="23"/>
  <c r="AK36" i="23"/>
  <c r="AK35" i="23"/>
  <c r="T263" i="23" l="1"/>
  <c r="R263" i="23"/>
  <c r="Q263" i="23"/>
  <c r="T251" i="23"/>
  <c r="R251" i="23"/>
  <c r="Q251" i="23"/>
  <c r="O203" i="23"/>
  <c r="N203" i="23"/>
  <c r="M203" i="23"/>
  <c r="L203" i="23"/>
  <c r="K203" i="23"/>
  <c r="J203" i="23"/>
  <c r="I203" i="23"/>
  <c r="H203" i="23"/>
  <c r="G203" i="23"/>
  <c r="F203" i="23"/>
  <c r="E203" i="23"/>
  <c r="D203" i="23"/>
  <c r="C203" i="23"/>
  <c r="O202" i="23"/>
  <c r="N202" i="23"/>
  <c r="M202" i="23"/>
  <c r="L202" i="23"/>
  <c r="K202" i="23"/>
  <c r="J202" i="23"/>
  <c r="I202" i="23"/>
  <c r="H202" i="23"/>
  <c r="G202" i="23"/>
  <c r="F202" i="23"/>
  <c r="E202" i="23"/>
  <c r="D202" i="23"/>
  <c r="C202" i="23"/>
  <c r="O201" i="23"/>
  <c r="N201" i="23"/>
  <c r="M201" i="23"/>
  <c r="L201" i="23"/>
  <c r="K201" i="23"/>
  <c r="J201" i="23"/>
  <c r="I201" i="23"/>
  <c r="H201" i="23"/>
  <c r="G201" i="23"/>
  <c r="F201" i="23"/>
  <c r="E201" i="23"/>
  <c r="D201" i="23"/>
  <c r="C201" i="23"/>
  <c r="O200" i="23"/>
  <c r="N200" i="23"/>
  <c r="M200" i="23"/>
  <c r="L200" i="23"/>
  <c r="K200" i="23"/>
  <c r="J200" i="23"/>
  <c r="I200" i="23"/>
  <c r="H200" i="23"/>
  <c r="G200" i="23"/>
  <c r="F200" i="23"/>
  <c r="E200" i="23"/>
  <c r="D200" i="23"/>
  <c r="C200" i="23"/>
  <c r="O199" i="23"/>
  <c r="N199" i="23"/>
  <c r="M199" i="23"/>
  <c r="L199" i="23"/>
  <c r="K199" i="23"/>
  <c r="J199" i="23"/>
  <c r="I199" i="23"/>
  <c r="H199" i="23"/>
  <c r="G199" i="23"/>
  <c r="F199" i="23"/>
  <c r="E199" i="23"/>
  <c r="D199" i="23"/>
  <c r="C199" i="23"/>
  <c r="O198" i="23"/>
  <c r="N198" i="23"/>
  <c r="M198" i="23"/>
  <c r="L198" i="23"/>
  <c r="K198" i="23"/>
  <c r="J198" i="23"/>
  <c r="I198" i="23"/>
  <c r="H198" i="23"/>
  <c r="G198" i="23"/>
  <c r="F198" i="23"/>
  <c r="E198" i="23"/>
  <c r="D198" i="23"/>
  <c r="C198" i="23"/>
  <c r="O197" i="23"/>
  <c r="N197" i="23"/>
  <c r="M197" i="23"/>
  <c r="L197" i="23"/>
  <c r="K197" i="23"/>
  <c r="J197" i="23"/>
  <c r="I197" i="23"/>
  <c r="H197" i="23"/>
  <c r="G197" i="23"/>
  <c r="F197" i="23"/>
  <c r="E197" i="23"/>
  <c r="D197" i="23"/>
  <c r="C197" i="23"/>
  <c r="O196" i="23"/>
  <c r="N196" i="23"/>
  <c r="M196" i="23"/>
  <c r="L196" i="23"/>
  <c r="K196" i="23"/>
  <c r="J196" i="23"/>
  <c r="I196" i="23"/>
  <c r="H196" i="23"/>
  <c r="G196" i="23"/>
  <c r="F196" i="23"/>
  <c r="E196" i="23"/>
  <c r="D196" i="23"/>
  <c r="C196" i="23"/>
  <c r="O195" i="23"/>
  <c r="N195" i="23"/>
  <c r="M195" i="23"/>
  <c r="L195" i="23"/>
  <c r="K195" i="23"/>
  <c r="J195" i="23"/>
  <c r="I195" i="23"/>
  <c r="H195" i="23"/>
  <c r="G195" i="23"/>
  <c r="F195" i="23"/>
  <c r="E195" i="23"/>
  <c r="D195" i="23"/>
  <c r="C195" i="23"/>
  <c r="O194" i="23"/>
  <c r="N194" i="23"/>
  <c r="M194" i="23"/>
  <c r="L194" i="23"/>
  <c r="K194" i="23"/>
  <c r="J194" i="23"/>
  <c r="I194" i="23"/>
  <c r="H194" i="23"/>
  <c r="G194" i="23"/>
  <c r="F194" i="23"/>
  <c r="E194" i="23"/>
  <c r="D194" i="23"/>
  <c r="C194" i="23"/>
  <c r="O193" i="23"/>
  <c r="N193" i="23"/>
  <c r="M193" i="23"/>
  <c r="L193" i="23"/>
  <c r="K193" i="23"/>
  <c r="J193" i="23"/>
  <c r="I193" i="23"/>
  <c r="H193" i="23"/>
  <c r="G193" i="23"/>
  <c r="F193" i="23"/>
  <c r="E193" i="23"/>
  <c r="D193" i="23"/>
  <c r="C193" i="23"/>
  <c r="O192" i="23"/>
  <c r="N192" i="23"/>
  <c r="M192" i="23"/>
  <c r="L192" i="23"/>
  <c r="K192" i="23"/>
  <c r="J192" i="23"/>
  <c r="I192" i="23"/>
  <c r="H192" i="23"/>
  <c r="G192" i="23"/>
  <c r="F192" i="23"/>
  <c r="E192" i="23"/>
  <c r="D192" i="23"/>
  <c r="C192" i="23"/>
  <c r="O183" i="23"/>
  <c r="N183" i="23"/>
  <c r="M183" i="23"/>
  <c r="L183" i="23"/>
  <c r="K183" i="23"/>
  <c r="J183" i="23"/>
  <c r="I183" i="23"/>
  <c r="H183" i="23"/>
  <c r="G183" i="23"/>
  <c r="F183" i="23"/>
  <c r="E183" i="23"/>
  <c r="D183" i="23"/>
  <c r="C183" i="23"/>
  <c r="O182" i="23"/>
  <c r="N182" i="23"/>
  <c r="M182" i="23"/>
  <c r="L182" i="23"/>
  <c r="K182" i="23"/>
  <c r="J182" i="23"/>
  <c r="I182" i="23"/>
  <c r="H182" i="23"/>
  <c r="G182" i="23"/>
  <c r="F182" i="23"/>
  <c r="E182" i="23"/>
  <c r="D182" i="23"/>
  <c r="C182" i="23"/>
  <c r="O181" i="23"/>
  <c r="N181" i="23"/>
  <c r="M181" i="23"/>
  <c r="L181" i="23"/>
  <c r="K181" i="23"/>
  <c r="J181" i="23"/>
  <c r="I181" i="23"/>
  <c r="H181" i="23"/>
  <c r="G181" i="23"/>
  <c r="F181" i="23"/>
  <c r="E181" i="23"/>
  <c r="D181" i="23"/>
  <c r="O173" i="23"/>
  <c r="N173" i="23"/>
  <c r="M173" i="23"/>
  <c r="L173" i="23"/>
  <c r="K173" i="23"/>
  <c r="J173" i="23"/>
  <c r="I173" i="23"/>
  <c r="H173" i="23"/>
  <c r="G173" i="23"/>
  <c r="F173" i="23"/>
  <c r="E173" i="23"/>
  <c r="D173" i="23"/>
  <c r="C173" i="23"/>
  <c r="O172" i="23"/>
  <c r="N172" i="23"/>
  <c r="M172" i="23"/>
  <c r="L172" i="23"/>
  <c r="K172" i="23"/>
  <c r="J172" i="23"/>
  <c r="I172" i="23"/>
  <c r="H172" i="23"/>
  <c r="G172" i="23"/>
  <c r="F172" i="23"/>
  <c r="E172" i="23"/>
  <c r="D172" i="23"/>
  <c r="C172" i="23"/>
  <c r="O171" i="23"/>
  <c r="N171" i="23"/>
  <c r="M171" i="23"/>
  <c r="L171" i="23"/>
  <c r="K171" i="23"/>
  <c r="J171" i="23"/>
  <c r="I171" i="23"/>
  <c r="H171" i="23"/>
  <c r="G171" i="23"/>
  <c r="F171" i="23"/>
  <c r="E171" i="23"/>
  <c r="D171" i="23"/>
  <c r="C171" i="23"/>
  <c r="O93" i="23"/>
  <c r="N93" i="23"/>
  <c r="M93" i="23"/>
  <c r="L93" i="23"/>
  <c r="K93" i="23"/>
  <c r="J93" i="23"/>
  <c r="I93" i="23"/>
  <c r="H93" i="23"/>
  <c r="G93" i="23"/>
  <c r="F93" i="23"/>
  <c r="E93" i="23"/>
  <c r="D93" i="23"/>
  <c r="C93" i="23"/>
  <c r="O92" i="23"/>
  <c r="N92" i="23"/>
  <c r="M92" i="23"/>
  <c r="L92" i="23"/>
  <c r="K92" i="23"/>
  <c r="J92" i="23"/>
  <c r="I92" i="23"/>
  <c r="H92" i="23"/>
  <c r="G92" i="23"/>
  <c r="F92" i="23"/>
  <c r="E92" i="23"/>
  <c r="D92" i="23"/>
  <c r="C92" i="23"/>
  <c r="O91" i="23"/>
  <c r="N91" i="23"/>
  <c r="M91" i="23"/>
  <c r="L91" i="23"/>
  <c r="K91" i="23"/>
  <c r="J91" i="23"/>
  <c r="I91" i="23"/>
  <c r="H91" i="23"/>
  <c r="G91" i="23"/>
  <c r="F91" i="23"/>
  <c r="E91" i="23"/>
  <c r="D91" i="23"/>
  <c r="C91" i="23"/>
  <c r="O90" i="23"/>
  <c r="N90" i="23"/>
  <c r="M90" i="23"/>
  <c r="L90" i="23"/>
  <c r="K90" i="23"/>
  <c r="J90" i="23"/>
  <c r="I90" i="23"/>
  <c r="H90" i="23"/>
  <c r="G90" i="23"/>
  <c r="F90" i="23"/>
  <c r="E90" i="23"/>
  <c r="D90" i="23"/>
  <c r="C90" i="23"/>
  <c r="O80" i="23"/>
  <c r="N156" i="23"/>
  <c r="J156" i="23"/>
  <c r="G125" i="23"/>
  <c r="F156" i="23"/>
  <c r="E80" i="23"/>
  <c r="C80" i="23"/>
  <c r="N124" i="23"/>
  <c r="L124" i="23"/>
  <c r="K79" i="23"/>
  <c r="J124" i="23"/>
  <c r="H124" i="23"/>
  <c r="D124" i="23"/>
  <c r="M78" i="23"/>
  <c r="L123" i="23"/>
  <c r="J78" i="23"/>
  <c r="I78" i="23"/>
  <c r="H123" i="23"/>
  <c r="E123" i="23"/>
  <c r="D123" i="23"/>
  <c r="O122" i="23"/>
  <c r="O119" i="23"/>
  <c r="N150" i="23"/>
  <c r="L119" i="23"/>
  <c r="J150" i="23"/>
  <c r="H119" i="23"/>
  <c r="G119" i="23"/>
  <c r="F150" i="23"/>
  <c r="D119" i="23"/>
  <c r="C119" i="23"/>
  <c r="N118" i="23"/>
  <c r="L118" i="23"/>
  <c r="I149" i="23"/>
  <c r="H118" i="23"/>
  <c r="E149" i="23"/>
  <c r="D118" i="23"/>
  <c r="C118" i="23"/>
  <c r="M117" i="23"/>
  <c r="L117" i="23"/>
  <c r="I148" i="23"/>
  <c r="H117" i="23"/>
  <c r="E117" i="23"/>
  <c r="D117" i="23"/>
  <c r="O116" i="23"/>
  <c r="O55" i="23"/>
  <c r="M113" i="23"/>
  <c r="L113" i="23"/>
  <c r="I144" i="23"/>
  <c r="H113" i="23"/>
  <c r="G144" i="23"/>
  <c r="D113" i="23"/>
  <c r="C144" i="23"/>
  <c r="N112" i="23"/>
  <c r="M143" i="23"/>
  <c r="L112" i="23"/>
  <c r="J112" i="23"/>
  <c r="I112" i="23"/>
  <c r="H112" i="23"/>
  <c r="D112" i="23"/>
  <c r="N111" i="23"/>
  <c r="M53" i="23"/>
  <c r="I142" i="23"/>
  <c r="F66" i="23"/>
  <c r="E53" i="23"/>
  <c r="D111" i="23"/>
  <c r="O34" i="23"/>
  <c r="O52" i="23" s="1"/>
  <c r="J22" i="23"/>
  <c r="T19" i="23"/>
  <c r="R19" i="23"/>
  <c r="Q19" i="23"/>
  <c r="T18" i="23"/>
  <c r="R18" i="23"/>
  <c r="Q18" i="23"/>
  <c r="T17" i="23"/>
  <c r="R17" i="23"/>
  <c r="Q17" i="23"/>
  <c r="T16" i="23"/>
  <c r="R16" i="23"/>
  <c r="Q16" i="23"/>
  <c r="O13" i="23"/>
  <c r="N13" i="23"/>
  <c r="M13" i="23"/>
  <c r="M266" i="23" s="1"/>
  <c r="L13" i="23"/>
  <c r="K13" i="23"/>
  <c r="K25" i="23" s="1"/>
  <c r="J13" i="23"/>
  <c r="I13" i="23"/>
  <c r="H13" i="23"/>
  <c r="G13" i="23"/>
  <c r="F13" i="23"/>
  <c r="E13" i="23"/>
  <c r="D13" i="23"/>
  <c r="C13" i="23"/>
  <c r="O12" i="23"/>
  <c r="N12" i="23"/>
  <c r="N253" i="23" s="1"/>
  <c r="M12" i="23"/>
  <c r="M265" i="23" s="1"/>
  <c r="L12" i="23"/>
  <c r="K12" i="23"/>
  <c r="J12" i="23"/>
  <c r="I12" i="23"/>
  <c r="H12" i="23"/>
  <c r="G12" i="23"/>
  <c r="Q12" i="23" s="1"/>
  <c r="F12" i="23"/>
  <c r="E12" i="23"/>
  <c r="D12" i="23"/>
  <c r="C12" i="23"/>
  <c r="O11" i="23"/>
  <c r="N11" i="23"/>
  <c r="M11" i="23"/>
  <c r="L11" i="23"/>
  <c r="K11" i="23"/>
  <c r="J11" i="23"/>
  <c r="I11" i="23"/>
  <c r="H11" i="23"/>
  <c r="G11" i="23"/>
  <c r="F11" i="23"/>
  <c r="F72" i="23" s="1"/>
  <c r="E11" i="23"/>
  <c r="D11" i="23"/>
  <c r="C11" i="23"/>
  <c r="O10" i="23"/>
  <c r="N10" i="23"/>
  <c r="M10" i="23"/>
  <c r="L10" i="23"/>
  <c r="K10" i="23"/>
  <c r="J10" i="23"/>
  <c r="I10" i="23"/>
  <c r="H10" i="23"/>
  <c r="G10" i="23"/>
  <c r="Q10" i="23" s="1"/>
  <c r="F10" i="23"/>
  <c r="E10" i="23"/>
  <c r="D10" i="23"/>
  <c r="C10" i="23"/>
  <c r="O7" i="23"/>
  <c r="N7" i="23"/>
  <c r="M7" i="23"/>
  <c r="M25" i="23" s="1"/>
  <c r="L7" i="23"/>
  <c r="L25" i="23" s="1"/>
  <c r="K7" i="23"/>
  <c r="J7" i="23"/>
  <c r="I7" i="23"/>
  <c r="H7" i="23"/>
  <c r="H68" i="23" s="1"/>
  <c r="G7" i="23"/>
  <c r="F7" i="23"/>
  <c r="E7" i="23"/>
  <c r="E25" i="23" s="1"/>
  <c r="D7" i="23"/>
  <c r="D68" i="23" s="1"/>
  <c r="C7" i="23"/>
  <c r="O6" i="23"/>
  <c r="O24" i="23" s="1"/>
  <c r="N6" i="23"/>
  <c r="N24" i="23" s="1"/>
  <c r="M6" i="23"/>
  <c r="L6" i="23"/>
  <c r="K6" i="23"/>
  <c r="J6" i="23"/>
  <c r="J24" i="23" s="1"/>
  <c r="I6" i="23"/>
  <c r="I24" i="23" s="1"/>
  <c r="H6" i="23"/>
  <c r="G6" i="23"/>
  <c r="G24" i="23" s="1"/>
  <c r="F6" i="23"/>
  <c r="E6" i="23"/>
  <c r="D6" i="23"/>
  <c r="C6" i="23"/>
  <c r="O5" i="23"/>
  <c r="N5" i="23"/>
  <c r="N23" i="23" s="1"/>
  <c r="M5" i="23"/>
  <c r="M23" i="23" s="1"/>
  <c r="L5" i="23"/>
  <c r="L23" i="23" s="1"/>
  <c r="K5" i="23"/>
  <c r="J5" i="23"/>
  <c r="I5" i="23"/>
  <c r="H5" i="23"/>
  <c r="G5" i="23"/>
  <c r="F5" i="23"/>
  <c r="F23" i="23" s="1"/>
  <c r="E5" i="23"/>
  <c r="D5" i="23"/>
  <c r="C5" i="23"/>
  <c r="O4" i="23"/>
  <c r="N4" i="23"/>
  <c r="N22" i="23" s="1"/>
  <c r="M4" i="23"/>
  <c r="M22" i="23" s="1"/>
  <c r="L4" i="23"/>
  <c r="K4" i="23"/>
  <c r="J4" i="23"/>
  <c r="I4" i="23"/>
  <c r="H4" i="23"/>
  <c r="G4" i="23"/>
  <c r="F4" i="23"/>
  <c r="F22" i="23" s="1"/>
  <c r="E4" i="23"/>
  <c r="E22" i="23" s="1"/>
  <c r="D4" i="23"/>
  <c r="C4" i="23"/>
  <c r="C22" i="23" s="1"/>
  <c r="E178" i="23" l="1"/>
  <c r="H130" i="23"/>
  <c r="D130" i="23"/>
  <c r="L130" i="23"/>
  <c r="D129" i="23"/>
  <c r="L148" i="23"/>
  <c r="D142" i="23"/>
  <c r="O99" i="23"/>
  <c r="O105" i="23" s="1"/>
  <c r="O113" i="23"/>
  <c r="M123" i="23"/>
  <c r="R49" i="23"/>
  <c r="R80" i="23" s="1"/>
  <c r="I117" i="23"/>
  <c r="M148" i="23"/>
  <c r="L155" i="23"/>
  <c r="D78" i="23"/>
  <c r="F80" i="23"/>
  <c r="M97" i="23"/>
  <c r="M103" i="23" s="1"/>
  <c r="M142" i="23"/>
  <c r="G150" i="23"/>
  <c r="Q150" i="23" s="1"/>
  <c r="D79" i="23"/>
  <c r="M154" i="23"/>
  <c r="G55" i="23"/>
  <c r="G272" i="23" s="1"/>
  <c r="D67" i="23"/>
  <c r="H67" i="23"/>
  <c r="R36" i="23"/>
  <c r="R42" i="23"/>
  <c r="L78" i="23"/>
  <c r="E111" i="23"/>
  <c r="E129" i="23" s="1"/>
  <c r="L154" i="23"/>
  <c r="K22" i="23"/>
  <c r="J23" i="23"/>
  <c r="E24" i="23"/>
  <c r="J72" i="23"/>
  <c r="M73" i="23"/>
  <c r="N53" i="23"/>
  <c r="N97" i="23" s="1"/>
  <c r="N103" i="23" s="1"/>
  <c r="M149" i="23"/>
  <c r="F177" i="23"/>
  <c r="F226" i="23" s="1"/>
  <c r="I178" i="23"/>
  <c r="I227" i="23" s="1"/>
  <c r="F178" i="23"/>
  <c r="F227" i="23" s="1"/>
  <c r="H74" i="23"/>
  <c r="J188" i="23"/>
  <c r="J233" i="23" s="1"/>
  <c r="I208" i="23"/>
  <c r="I239" i="23" s="1"/>
  <c r="M208" i="23"/>
  <c r="M239" i="23" s="1"/>
  <c r="D209" i="23"/>
  <c r="D240" i="23" s="1"/>
  <c r="N208" i="23"/>
  <c r="N239" i="23" s="1"/>
  <c r="N125" i="23"/>
  <c r="Q125" i="23" s="1"/>
  <c r="H150" i="23"/>
  <c r="E177" i="23"/>
  <c r="E226" i="23" s="1"/>
  <c r="I23" i="23"/>
  <c r="R37" i="23"/>
  <c r="R43" i="23"/>
  <c r="L74" i="23"/>
  <c r="C113" i="23"/>
  <c r="M118" i="23"/>
  <c r="O125" i="23"/>
  <c r="H144" i="23"/>
  <c r="L149" i="23"/>
  <c r="D154" i="23"/>
  <c r="G156" i="23"/>
  <c r="Q156" i="23" s="1"/>
  <c r="H25" i="23"/>
  <c r="M24" i="23"/>
  <c r="I68" i="23"/>
  <c r="O71" i="23"/>
  <c r="O141" i="23"/>
  <c r="D179" i="23"/>
  <c r="D228" i="23" s="1"/>
  <c r="G22" i="23"/>
  <c r="Q22" i="23" s="1"/>
  <c r="O65" i="23"/>
  <c r="Q6" i="23"/>
  <c r="F25" i="23"/>
  <c r="J25" i="23"/>
  <c r="N25" i="23"/>
  <c r="F24" i="23"/>
  <c r="O153" i="23"/>
  <c r="E188" i="23"/>
  <c r="E233" i="23" s="1"/>
  <c r="M187" i="23"/>
  <c r="M232" i="23" s="1"/>
  <c r="O206" i="23"/>
  <c r="O237" i="23" s="1"/>
  <c r="H22" i="23"/>
  <c r="Q4" i="23"/>
  <c r="T7" i="23"/>
  <c r="R7" i="23"/>
  <c r="O25" i="23"/>
  <c r="O86" i="23" s="1"/>
  <c r="E23" i="23"/>
  <c r="D25" i="23"/>
  <c r="O96" i="23"/>
  <c r="O102" i="23" s="1"/>
  <c r="O147" i="23"/>
  <c r="I177" i="23"/>
  <c r="I226" i="23" s="1"/>
  <c r="M254" i="23"/>
  <c r="N265" i="23"/>
  <c r="E207" i="23"/>
  <c r="E238" i="23" s="1"/>
  <c r="C209" i="23"/>
  <c r="C240" i="23" s="1"/>
  <c r="K209" i="23"/>
  <c r="K240" i="23" s="1"/>
  <c r="F54" i="23"/>
  <c r="J54" i="23"/>
  <c r="J271" i="23" s="1"/>
  <c r="N154" i="23"/>
  <c r="N123" i="23"/>
  <c r="M79" i="23"/>
  <c r="M155" i="23"/>
  <c r="H125" i="23"/>
  <c r="H131" i="23" s="1"/>
  <c r="H55" i="23"/>
  <c r="H272" i="23" s="1"/>
  <c r="H80" i="23"/>
  <c r="H156" i="23"/>
  <c r="J118" i="23"/>
  <c r="J130" i="23" s="1"/>
  <c r="J179" i="23"/>
  <c r="J228" i="23" s="1"/>
  <c r="N177" i="23"/>
  <c r="N226" i="23" s="1"/>
  <c r="N178" i="23"/>
  <c r="N227" i="23" s="1"/>
  <c r="I74" i="23"/>
  <c r="I119" i="23"/>
  <c r="I207" i="23"/>
  <c r="I238" i="23" s="1"/>
  <c r="H208" i="23"/>
  <c r="H239" i="23" s="1"/>
  <c r="G209" i="23"/>
  <c r="O209" i="23"/>
  <c r="O240" i="23" s="1"/>
  <c r="H111" i="23"/>
  <c r="H129" i="23" s="1"/>
  <c r="H142" i="23"/>
  <c r="L111" i="23"/>
  <c r="L129" i="23" s="1"/>
  <c r="L142" i="23"/>
  <c r="C112" i="23"/>
  <c r="C67" i="23"/>
  <c r="N113" i="23"/>
  <c r="N68" i="23"/>
  <c r="E155" i="23"/>
  <c r="E79" i="23"/>
  <c r="I155" i="23"/>
  <c r="I124" i="23"/>
  <c r="D125" i="23"/>
  <c r="D131" i="23" s="1"/>
  <c r="D156" i="23"/>
  <c r="D80" i="23"/>
  <c r="L125" i="23"/>
  <c r="L131" i="23" s="1"/>
  <c r="L156" i="23"/>
  <c r="I79" i="23"/>
  <c r="L80" i="23"/>
  <c r="M124" i="23"/>
  <c r="D54" i="23"/>
  <c r="D98" i="23" s="1"/>
  <c r="D104" i="23" s="1"/>
  <c r="E97" i="23"/>
  <c r="E103" i="23" s="1"/>
  <c r="I111" i="23"/>
  <c r="D143" i="23"/>
  <c r="E187" i="23"/>
  <c r="E232" i="23" s="1"/>
  <c r="I54" i="23"/>
  <c r="I85" i="23" s="1"/>
  <c r="M54" i="23"/>
  <c r="M85" i="23" s="1"/>
  <c r="I53" i="23"/>
  <c r="I97" i="23" s="1"/>
  <c r="I103" i="23" s="1"/>
  <c r="C55" i="23"/>
  <c r="C99" i="23" s="1"/>
  <c r="C105" i="23" s="1"/>
  <c r="L55" i="23"/>
  <c r="L272" i="23" s="1"/>
  <c r="E73" i="23"/>
  <c r="H78" i="23"/>
  <c r="L79" i="23"/>
  <c r="I98" i="23"/>
  <c r="I104" i="23" s="1"/>
  <c r="M111" i="23"/>
  <c r="M112" i="23"/>
  <c r="N119" i="23"/>
  <c r="Q119" i="23" s="1"/>
  <c r="C125" i="23"/>
  <c r="H143" i="23"/>
  <c r="D144" i="23"/>
  <c r="L144" i="23"/>
  <c r="H148" i="23"/>
  <c r="D149" i="23"/>
  <c r="C150" i="23"/>
  <c r="L150" i="23"/>
  <c r="H154" i="23"/>
  <c r="D155" i="23"/>
  <c r="C156" i="23"/>
  <c r="C162" i="23" s="1"/>
  <c r="F208" i="23"/>
  <c r="F239" i="23" s="1"/>
  <c r="L54" i="23"/>
  <c r="L98" i="23" s="1"/>
  <c r="L104" i="23" s="1"/>
  <c r="G113" i="23"/>
  <c r="D148" i="23"/>
  <c r="H54" i="23"/>
  <c r="H271" i="23" s="1"/>
  <c r="D55" i="23"/>
  <c r="D99" i="23" s="1"/>
  <c r="D105" i="23" s="1"/>
  <c r="M67" i="23"/>
  <c r="F74" i="23"/>
  <c r="H79" i="23"/>
  <c r="J80" i="23"/>
  <c r="I118" i="23"/>
  <c r="I123" i="23"/>
  <c r="L143" i="23"/>
  <c r="H149" i="23"/>
  <c r="D150" i="23"/>
  <c r="I154" i="23"/>
  <c r="I160" i="23" s="1"/>
  <c r="H155" i="23"/>
  <c r="F188" i="23"/>
  <c r="L24" i="23"/>
  <c r="L67" i="23"/>
  <c r="T11" i="23"/>
  <c r="K252" i="23"/>
  <c r="K264" i="23"/>
  <c r="R11" i="23"/>
  <c r="K187" i="23"/>
  <c r="O252" i="23"/>
  <c r="O264" i="23"/>
  <c r="H24" i="23"/>
  <c r="R25" i="23"/>
  <c r="C72" i="23"/>
  <c r="T41" i="23"/>
  <c r="C148" i="23"/>
  <c r="Q41" i="23"/>
  <c r="G72" i="23"/>
  <c r="G148" i="23"/>
  <c r="G117" i="23"/>
  <c r="K148" i="23"/>
  <c r="K117" i="23"/>
  <c r="R117" i="23" s="1"/>
  <c r="R41" i="23"/>
  <c r="K72" i="23"/>
  <c r="L22" i="23"/>
  <c r="G25" i="23"/>
  <c r="Q7" i="23"/>
  <c r="T47" i="23"/>
  <c r="C207" i="23"/>
  <c r="C154" i="23"/>
  <c r="C78" i="23"/>
  <c r="Q47" i="23"/>
  <c r="Q78" i="23" s="1"/>
  <c r="G78" i="23"/>
  <c r="G154" i="23"/>
  <c r="G123" i="23"/>
  <c r="O207" i="23"/>
  <c r="O238" i="23" s="1"/>
  <c r="O123" i="23"/>
  <c r="O154" i="23"/>
  <c r="O78" i="23"/>
  <c r="T5" i="23"/>
  <c r="C23" i="23"/>
  <c r="G23" i="23"/>
  <c r="Q5" i="23"/>
  <c r="K23" i="23"/>
  <c r="R5" i="23"/>
  <c r="O23" i="23"/>
  <c r="D73" i="23"/>
  <c r="H73" i="23"/>
  <c r="L265" i="23"/>
  <c r="L253" i="23"/>
  <c r="L73" i="23"/>
  <c r="C117" i="23"/>
  <c r="C123" i="23"/>
  <c r="G252" i="23"/>
  <c r="G264" i="23"/>
  <c r="Q11" i="23"/>
  <c r="A22" i="23"/>
  <c r="O117" i="23"/>
  <c r="O148" i="23"/>
  <c r="O72" i="23"/>
  <c r="D22" i="23"/>
  <c r="E227" i="23"/>
  <c r="D24" i="23"/>
  <c r="C25" i="23"/>
  <c r="K154" i="23"/>
  <c r="K123" i="23"/>
  <c r="R123" i="23" s="1"/>
  <c r="K207" i="23"/>
  <c r="K78" i="23"/>
  <c r="R47" i="23"/>
  <c r="R78" i="23" s="1"/>
  <c r="T13" i="23"/>
  <c r="G254" i="23"/>
  <c r="G266" i="23"/>
  <c r="Q13" i="23"/>
  <c r="G189" i="23"/>
  <c r="K254" i="23"/>
  <c r="K266" i="23"/>
  <c r="R13" i="23"/>
  <c r="O254" i="23"/>
  <c r="O266" i="23"/>
  <c r="O189" i="23"/>
  <c r="O234" i="23" s="1"/>
  <c r="T35" i="23"/>
  <c r="C142" i="23"/>
  <c r="C66" i="23"/>
  <c r="C111" i="23"/>
  <c r="C53" i="23"/>
  <c r="C97" i="23" s="1"/>
  <c r="C103" i="23" s="1"/>
  <c r="Q35" i="23"/>
  <c r="G142" i="23"/>
  <c r="G111" i="23"/>
  <c r="G66" i="23"/>
  <c r="G53" i="23"/>
  <c r="G97" i="23" s="1"/>
  <c r="G103" i="23" s="1"/>
  <c r="K142" i="23"/>
  <c r="K111" i="23"/>
  <c r="K53" i="23"/>
  <c r="K97" i="23" s="1"/>
  <c r="K103" i="23" s="1"/>
  <c r="R35" i="23"/>
  <c r="K66" i="23"/>
  <c r="O66" i="23"/>
  <c r="O111" i="23"/>
  <c r="O53" i="23"/>
  <c r="O97" i="23" s="1"/>
  <c r="O103" i="23" s="1"/>
  <c r="O142" i="23"/>
  <c r="Q36" i="23"/>
  <c r="Q67" i="23" s="1"/>
  <c r="G54" i="23"/>
  <c r="G143" i="23"/>
  <c r="G112" i="23"/>
  <c r="G67" i="23"/>
  <c r="O143" i="23"/>
  <c r="O112" i="23"/>
  <c r="O67" i="23"/>
  <c r="E144" i="23"/>
  <c r="E55" i="23"/>
  <c r="E113" i="23"/>
  <c r="E68" i="23"/>
  <c r="E179" i="23"/>
  <c r="M144" i="23"/>
  <c r="M68" i="23"/>
  <c r="T37" i="23"/>
  <c r="C149" i="23"/>
  <c r="C73" i="23"/>
  <c r="T42" i="23"/>
  <c r="Q42" i="23"/>
  <c r="Q73" i="23" s="1"/>
  <c r="G149" i="23"/>
  <c r="O73" i="23"/>
  <c r="O149" i="23"/>
  <c r="O118" i="23"/>
  <c r="E150" i="23"/>
  <c r="E74" i="23"/>
  <c r="E119" i="23"/>
  <c r="M150" i="23"/>
  <c r="M119" i="23"/>
  <c r="T43" i="23"/>
  <c r="C155" i="23"/>
  <c r="C79" i="23"/>
  <c r="T48" i="23"/>
  <c r="C124" i="23"/>
  <c r="Q48" i="23"/>
  <c r="Q79" i="23" s="1"/>
  <c r="G79" i="23"/>
  <c r="G155" i="23"/>
  <c r="K155" i="23"/>
  <c r="K124" i="23"/>
  <c r="R124" i="23" s="1"/>
  <c r="O155" i="23"/>
  <c r="O124" i="23"/>
  <c r="E156" i="23"/>
  <c r="E125" i="23"/>
  <c r="I209" i="23"/>
  <c r="I240" i="23" s="1"/>
  <c r="I80" i="23"/>
  <c r="I156" i="23"/>
  <c r="M156" i="23"/>
  <c r="M80" i="23"/>
  <c r="T49" i="23"/>
  <c r="O54" i="23"/>
  <c r="O98" i="23" s="1"/>
  <c r="O104" i="23" s="1"/>
  <c r="M55" i="23"/>
  <c r="M99" i="23" s="1"/>
  <c r="M105" i="23" s="1"/>
  <c r="M74" i="23"/>
  <c r="G118" i="23"/>
  <c r="Q118" i="23" s="1"/>
  <c r="G124" i="23"/>
  <c r="Q124" i="23" s="1"/>
  <c r="I125" i="23"/>
  <c r="I150" i="23"/>
  <c r="L178" i="23"/>
  <c r="G188" i="23"/>
  <c r="O188" i="23"/>
  <c r="O233" i="23" s="1"/>
  <c r="D66" i="23"/>
  <c r="D23" i="23"/>
  <c r="D177" i="23"/>
  <c r="H23" i="23"/>
  <c r="H66" i="23"/>
  <c r="L68" i="23"/>
  <c r="L179" i="23"/>
  <c r="D72" i="23"/>
  <c r="H72" i="23"/>
  <c r="L264" i="23"/>
  <c r="L252" i="23"/>
  <c r="L72" i="23"/>
  <c r="D74" i="23"/>
  <c r="L266" i="23"/>
  <c r="L254" i="23"/>
  <c r="O22" i="23"/>
  <c r="O83" i="23" s="1"/>
  <c r="Q24" i="23"/>
  <c r="R48" i="23"/>
  <c r="R79" i="23" s="1"/>
  <c r="L66" i="23"/>
  <c r="G73" i="23"/>
  <c r="O79" i="23"/>
  <c r="M125" i="23"/>
  <c r="C143" i="23"/>
  <c r="C54" i="23"/>
  <c r="C98" i="23" s="1"/>
  <c r="C104" i="23" s="1"/>
  <c r="T36" i="23"/>
  <c r="K143" i="23"/>
  <c r="K112" i="23"/>
  <c r="K67" i="23"/>
  <c r="I55" i="23"/>
  <c r="I113" i="23"/>
  <c r="K149" i="23"/>
  <c r="K118" i="23"/>
  <c r="R118" i="23" s="1"/>
  <c r="K73" i="23"/>
  <c r="T4" i="23"/>
  <c r="R4" i="23"/>
  <c r="C24" i="23"/>
  <c r="T6" i="23"/>
  <c r="K24" i="23"/>
  <c r="R6" i="23"/>
  <c r="I179" i="23"/>
  <c r="T10" i="23"/>
  <c r="R10" i="23"/>
  <c r="T12" i="23"/>
  <c r="G253" i="23"/>
  <c r="G265" i="23"/>
  <c r="K253" i="23"/>
  <c r="K265" i="23"/>
  <c r="R12" i="23"/>
  <c r="O253" i="23"/>
  <c r="O265" i="23"/>
  <c r="F142" i="23"/>
  <c r="F111" i="23"/>
  <c r="F53" i="23"/>
  <c r="F97" i="23" s="1"/>
  <c r="F103" i="23" s="1"/>
  <c r="J142" i="23"/>
  <c r="J66" i="23"/>
  <c r="J111" i="23"/>
  <c r="J53" i="23"/>
  <c r="N142" i="23"/>
  <c r="N66" i="23"/>
  <c r="F148" i="23"/>
  <c r="F117" i="23"/>
  <c r="J148" i="23"/>
  <c r="J117" i="23"/>
  <c r="N148" i="23"/>
  <c r="N72" i="23"/>
  <c r="N117" i="23"/>
  <c r="F154" i="23"/>
  <c r="F123" i="23"/>
  <c r="F78" i="23"/>
  <c r="J154" i="23"/>
  <c r="J123" i="23"/>
  <c r="J207" i="23"/>
  <c r="J238" i="23" s="1"/>
  <c r="M270" i="23"/>
  <c r="M84" i="23"/>
  <c r="M258" i="23"/>
  <c r="K54" i="23"/>
  <c r="N78" i="23"/>
  <c r="N130" i="23"/>
  <c r="M189" i="23"/>
  <c r="M234" i="23" s="1"/>
  <c r="G207" i="23"/>
  <c r="E209" i="23"/>
  <c r="E240" i="23" s="1"/>
  <c r="M209" i="23"/>
  <c r="M240" i="23" s="1"/>
  <c r="J177" i="23"/>
  <c r="F179" i="23"/>
  <c r="N179" i="23"/>
  <c r="O186" i="23"/>
  <c r="O231" i="23" s="1"/>
  <c r="F187" i="23"/>
  <c r="F232" i="23" s="1"/>
  <c r="K188" i="23"/>
  <c r="J189" i="23"/>
  <c r="J234" i="23" s="1"/>
  <c r="D207" i="23"/>
  <c r="D238" i="23" s="1"/>
  <c r="H207" i="23"/>
  <c r="H238" i="23" s="1"/>
  <c r="L207" i="23"/>
  <c r="L238" i="23" s="1"/>
  <c r="C208" i="23"/>
  <c r="G208" i="23"/>
  <c r="K208" i="23"/>
  <c r="O208" i="23"/>
  <c r="O239" i="23" s="1"/>
  <c r="F209" i="23"/>
  <c r="F240" i="23" s="1"/>
  <c r="J209" i="23"/>
  <c r="J240" i="23" s="1"/>
  <c r="N209" i="23"/>
  <c r="N240" i="23" s="1"/>
  <c r="I264" i="23"/>
  <c r="M264" i="23"/>
  <c r="M252" i="23"/>
  <c r="I265" i="23"/>
  <c r="I266" i="23"/>
  <c r="I25" i="23"/>
  <c r="O257" i="23"/>
  <c r="O269" i="23"/>
  <c r="E143" i="23"/>
  <c r="E54" i="23"/>
  <c r="F144" i="23"/>
  <c r="F162" i="23" s="1"/>
  <c r="F55" i="23"/>
  <c r="J144" i="23"/>
  <c r="J162" i="23" s="1"/>
  <c r="J55" i="23"/>
  <c r="N144" i="23"/>
  <c r="N162" i="23" s="1"/>
  <c r="N55" i="23"/>
  <c r="N99" i="23" s="1"/>
  <c r="N105" i="23" s="1"/>
  <c r="E84" i="23"/>
  <c r="O260" i="23"/>
  <c r="O272" i="23"/>
  <c r="I67" i="23"/>
  <c r="J68" i="23"/>
  <c r="N74" i="23"/>
  <c r="O77" i="23"/>
  <c r="O110" i="23"/>
  <c r="O128" i="23" s="1"/>
  <c r="E112" i="23"/>
  <c r="J113" i="23"/>
  <c r="E118" i="23"/>
  <c r="J119" i="23"/>
  <c r="E124" i="23"/>
  <c r="J125" i="23"/>
  <c r="C179" i="23"/>
  <c r="C178" i="23"/>
  <c r="C177" i="23"/>
  <c r="G179" i="23"/>
  <c r="G178" i="23"/>
  <c r="G177" i="23"/>
  <c r="K179" i="23"/>
  <c r="K178" i="23"/>
  <c r="K177" i="23"/>
  <c r="O179" i="23"/>
  <c r="O178" i="23"/>
  <c r="O177" i="23"/>
  <c r="O176" i="23"/>
  <c r="L177" i="23"/>
  <c r="D178" i="23"/>
  <c r="J178" i="23"/>
  <c r="D189" i="23"/>
  <c r="D234" i="23" s="1"/>
  <c r="D188" i="23"/>
  <c r="D233" i="23" s="1"/>
  <c r="D187" i="23"/>
  <c r="D232" i="23" s="1"/>
  <c r="H189" i="23"/>
  <c r="H234" i="23" s="1"/>
  <c r="H188" i="23"/>
  <c r="H233" i="23" s="1"/>
  <c r="H187" i="23"/>
  <c r="H232" i="23" s="1"/>
  <c r="L189" i="23"/>
  <c r="L234" i="23" s="1"/>
  <c r="L188" i="23"/>
  <c r="L233" i="23" s="1"/>
  <c r="L187" i="23"/>
  <c r="L232" i="23" s="1"/>
  <c r="G187" i="23"/>
  <c r="O187" i="23"/>
  <c r="O232" i="23" s="1"/>
  <c r="M188" i="23"/>
  <c r="M233" i="23" s="1"/>
  <c r="E189" i="23"/>
  <c r="E234" i="23" s="1"/>
  <c r="K189" i="23"/>
  <c r="M207" i="23"/>
  <c r="M238" i="23" s="1"/>
  <c r="D208" i="23"/>
  <c r="D239" i="23" s="1"/>
  <c r="L208" i="23"/>
  <c r="L239" i="23" s="1"/>
  <c r="E208" i="23"/>
  <c r="E239" i="23" s="1"/>
  <c r="M253" i="23"/>
  <c r="N252" i="23"/>
  <c r="N264" i="23"/>
  <c r="N254" i="23"/>
  <c r="N266" i="23"/>
  <c r="I22" i="23"/>
  <c r="E142" i="23"/>
  <c r="E66" i="23"/>
  <c r="I66" i="23"/>
  <c r="M66" i="23"/>
  <c r="F143" i="23"/>
  <c r="F67" i="23"/>
  <c r="J143" i="23"/>
  <c r="J67" i="23"/>
  <c r="N143" i="23"/>
  <c r="N67" i="23"/>
  <c r="C68" i="23"/>
  <c r="G68" i="23"/>
  <c r="Q37" i="23"/>
  <c r="Q68" i="23" s="1"/>
  <c r="K144" i="23"/>
  <c r="K68" i="23"/>
  <c r="O68" i="23"/>
  <c r="E148" i="23"/>
  <c r="E72" i="23"/>
  <c r="I72" i="23"/>
  <c r="M72" i="23"/>
  <c r="F149" i="23"/>
  <c r="F73" i="23"/>
  <c r="J149" i="23"/>
  <c r="J73" i="23"/>
  <c r="N149" i="23"/>
  <c r="N73" i="23"/>
  <c r="C74" i="23"/>
  <c r="G74" i="23"/>
  <c r="Q43" i="23"/>
  <c r="Q74" i="23" s="1"/>
  <c r="K150" i="23"/>
  <c r="K74" i="23"/>
  <c r="O74" i="23"/>
  <c r="E154" i="23"/>
  <c r="E78" i="23"/>
  <c r="F155" i="23"/>
  <c r="F79" i="23"/>
  <c r="J155" i="23"/>
  <c r="J208" i="23"/>
  <c r="J239" i="23" s="1"/>
  <c r="J79" i="23"/>
  <c r="N155" i="23"/>
  <c r="N79" i="23"/>
  <c r="G80" i="23"/>
  <c r="Q49" i="23"/>
  <c r="Q80" i="23" s="1"/>
  <c r="K156" i="23"/>
  <c r="K80" i="23"/>
  <c r="N54" i="23"/>
  <c r="N98" i="23" s="1"/>
  <c r="N104" i="23" s="1"/>
  <c r="K55" i="23"/>
  <c r="K99" i="23" s="1"/>
  <c r="K105" i="23" s="1"/>
  <c r="E67" i="23"/>
  <c r="F68" i="23"/>
  <c r="I73" i="23"/>
  <c r="J74" i="23"/>
  <c r="N80" i="23"/>
  <c r="F112" i="23"/>
  <c r="F113" i="23"/>
  <c r="K113" i="23"/>
  <c r="F118" i="23"/>
  <c r="F119" i="23"/>
  <c r="K119" i="23"/>
  <c r="R119" i="23" s="1"/>
  <c r="F124" i="23"/>
  <c r="F125" i="23"/>
  <c r="K125" i="23"/>
  <c r="I143" i="23"/>
  <c r="O144" i="23"/>
  <c r="O150" i="23"/>
  <c r="O156" i="23"/>
  <c r="M179" i="23"/>
  <c r="H179" i="23"/>
  <c r="N189" i="23"/>
  <c r="N234" i="23" s="1"/>
  <c r="I189" i="23"/>
  <c r="I234" i="23" s="1"/>
  <c r="J187" i="23"/>
  <c r="J232" i="23" s="1"/>
  <c r="F189" i="23"/>
  <c r="F234" i="23" s="1"/>
  <c r="F207" i="23"/>
  <c r="F238" i="23" s="1"/>
  <c r="N207" i="23"/>
  <c r="N238" i="23" s="1"/>
  <c r="D53" i="23"/>
  <c r="H53" i="23"/>
  <c r="L53" i="23"/>
  <c r="H177" i="23"/>
  <c r="M177" i="23"/>
  <c r="H178" i="23"/>
  <c r="M178" i="23"/>
  <c r="I187" i="23"/>
  <c r="I232" i="23" s="1"/>
  <c r="N187" i="23"/>
  <c r="N232" i="23" s="1"/>
  <c r="I188" i="23"/>
  <c r="I233" i="23" s="1"/>
  <c r="N188" i="23"/>
  <c r="N233" i="23" s="1"/>
  <c r="H209" i="23"/>
  <c r="H240" i="23" s="1"/>
  <c r="L209" i="23"/>
  <c r="L240" i="23" s="1"/>
  <c r="O159" i="23" l="1"/>
  <c r="Q265" i="23"/>
  <c r="R74" i="23"/>
  <c r="R22" i="23"/>
  <c r="O131" i="23"/>
  <c r="N270" i="23"/>
  <c r="R125" i="23"/>
  <c r="N258" i="23"/>
  <c r="R150" i="23"/>
  <c r="M129" i="23"/>
  <c r="R155" i="23"/>
  <c r="I84" i="23"/>
  <c r="H99" i="23"/>
  <c r="H105" i="23" s="1"/>
  <c r="G162" i="23"/>
  <c r="Q162" i="23" s="1"/>
  <c r="D85" i="23"/>
  <c r="I270" i="23"/>
  <c r="R148" i="23"/>
  <c r="R73" i="23"/>
  <c r="G260" i="23"/>
  <c r="G278" i="23" s="1"/>
  <c r="I129" i="23"/>
  <c r="J129" i="23"/>
  <c r="L85" i="23"/>
  <c r="R149" i="23"/>
  <c r="L86" i="23"/>
  <c r="R154" i="23"/>
  <c r="N129" i="23"/>
  <c r="A55" i="23"/>
  <c r="N84" i="23"/>
  <c r="R67" i="23"/>
  <c r="I162" i="23"/>
  <c r="L160" i="23"/>
  <c r="E161" i="23"/>
  <c r="M160" i="23"/>
  <c r="L161" i="23"/>
  <c r="L259" i="23"/>
  <c r="G86" i="23"/>
  <c r="D160" i="23"/>
  <c r="N131" i="23"/>
  <c r="R68" i="23"/>
  <c r="F85" i="23"/>
  <c r="H86" i="23"/>
  <c r="H162" i="23"/>
  <c r="M161" i="23"/>
  <c r="G99" i="23"/>
  <c r="G105" i="23" s="1"/>
  <c r="R156" i="23"/>
  <c r="L271" i="23"/>
  <c r="Q154" i="23"/>
  <c r="I130" i="23"/>
  <c r="M130" i="23"/>
  <c r="Q209" i="23"/>
  <c r="Q144" i="23"/>
  <c r="C131" i="23"/>
  <c r="G240" i="23"/>
  <c r="L260" i="23"/>
  <c r="L278" i="23" s="1"/>
  <c r="O160" i="23"/>
  <c r="D86" i="23"/>
  <c r="E130" i="23"/>
  <c r="L99" i="23"/>
  <c r="L105" i="23" s="1"/>
  <c r="J85" i="23"/>
  <c r="T119" i="23"/>
  <c r="C86" i="23"/>
  <c r="O275" i="23"/>
  <c r="R66" i="23"/>
  <c r="Q66" i="23"/>
  <c r="R72" i="23"/>
  <c r="G131" i="23"/>
  <c r="Q131" i="23" s="1"/>
  <c r="Q113" i="23"/>
  <c r="T113" i="23"/>
  <c r="F233" i="23"/>
  <c r="F214" i="23"/>
  <c r="F245" i="23" s="1"/>
  <c r="I131" i="23"/>
  <c r="N213" i="23"/>
  <c r="N244" i="23" s="1"/>
  <c r="H98" i="23"/>
  <c r="H104" i="23" s="1"/>
  <c r="M271" i="23"/>
  <c r="M98" i="23"/>
  <c r="M104" i="23" s="1"/>
  <c r="M259" i="23"/>
  <c r="E213" i="23"/>
  <c r="E244" i="23" s="1"/>
  <c r="T118" i="23"/>
  <c r="M276" i="23"/>
  <c r="F98" i="23"/>
  <c r="F104" i="23" s="1"/>
  <c r="R265" i="23"/>
  <c r="M131" i="23"/>
  <c r="Q123" i="23"/>
  <c r="D162" i="23"/>
  <c r="I161" i="23"/>
  <c r="J98" i="23"/>
  <c r="J104" i="23" s="1"/>
  <c r="L162" i="23"/>
  <c r="H160" i="23"/>
  <c r="I271" i="23"/>
  <c r="T125" i="23"/>
  <c r="T155" i="23"/>
  <c r="O161" i="23"/>
  <c r="H161" i="23"/>
  <c r="D161" i="23"/>
  <c r="K131" i="23"/>
  <c r="R113" i="23"/>
  <c r="K213" i="23"/>
  <c r="K226" i="23"/>
  <c r="R177" i="23"/>
  <c r="I272" i="23"/>
  <c r="W55" i="23"/>
  <c r="F99" i="20" s="1"/>
  <c r="I86" i="23"/>
  <c r="M226" i="23"/>
  <c r="M213" i="23"/>
  <c r="H228" i="23"/>
  <c r="H215" i="23"/>
  <c r="N161" i="23"/>
  <c r="F161" i="23"/>
  <c r="E160" i="23"/>
  <c r="D227" i="23"/>
  <c r="D214" i="23"/>
  <c r="O225" i="23"/>
  <c r="O212" i="23"/>
  <c r="J131" i="23"/>
  <c r="G239" i="23"/>
  <c r="Q208" i="23"/>
  <c r="N214" i="23"/>
  <c r="K259" i="23"/>
  <c r="K271" i="23"/>
  <c r="R54" i="23"/>
  <c r="K85" i="23"/>
  <c r="K98" i="23"/>
  <c r="K104" i="23" s="1"/>
  <c r="J270" i="23"/>
  <c r="J97" i="23"/>
  <c r="J103" i="23" s="1"/>
  <c r="J84" i="23"/>
  <c r="F84" i="23"/>
  <c r="T24" i="23"/>
  <c r="F86" i="20" s="1"/>
  <c r="A24" i="23"/>
  <c r="K161" i="23"/>
  <c r="R143" i="23"/>
  <c r="Q55" i="23"/>
  <c r="L228" i="23"/>
  <c r="L215" i="23"/>
  <c r="D226" i="23"/>
  <c r="D213" i="23"/>
  <c r="D215" i="23"/>
  <c r="T150" i="23"/>
  <c r="Q149" i="23"/>
  <c r="T149" i="23"/>
  <c r="E131" i="23"/>
  <c r="O130" i="23"/>
  <c r="Q143" i="23"/>
  <c r="G161" i="23"/>
  <c r="K129" i="23"/>
  <c r="R111" i="23"/>
  <c r="Q111" i="23"/>
  <c r="G129" i="23"/>
  <c r="C129" i="23"/>
  <c r="T111" i="23"/>
  <c r="R254" i="23"/>
  <c r="Q254" i="23"/>
  <c r="E214" i="23"/>
  <c r="Q264" i="23"/>
  <c r="T209" i="23"/>
  <c r="T240" i="23" s="1"/>
  <c r="T117" i="23"/>
  <c r="T154" i="23"/>
  <c r="Q148" i="23"/>
  <c r="H85" i="23"/>
  <c r="R252" i="23"/>
  <c r="H226" i="23"/>
  <c r="H213" i="23"/>
  <c r="L270" i="23"/>
  <c r="L258" i="23"/>
  <c r="L84" i="23"/>
  <c r="M228" i="23"/>
  <c r="M215" i="23"/>
  <c r="O213" i="23"/>
  <c r="O226" i="23"/>
  <c r="G213" i="23"/>
  <c r="G226" i="23"/>
  <c r="Q177" i="23"/>
  <c r="J272" i="23"/>
  <c r="J86" i="23"/>
  <c r="C239" i="23"/>
  <c r="T208" i="23"/>
  <c r="T239" i="23" s="1"/>
  <c r="K233" i="23"/>
  <c r="R188" i="23"/>
  <c r="N228" i="23"/>
  <c r="N215" i="23"/>
  <c r="F129" i="23"/>
  <c r="R253" i="23"/>
  <c r="M272" i="23"/>
  <c r="M86" i="23"/>
  <c r="M260" i="23"/>
  <c r="M162" i="23"/>
  <c r="E86" i="23"/>
  <c r="G259" i="23"/>
  <c r="G271" i="23"/>
  <c r="G85" i="23"/>
  <c r="W54" i="23"/>
  <c r="F98" i="20" s="1"/>
  <c r="Q54" i="23"/>
  <c r="F213" i="23"/>
  <c r="G98" i="23"/>
  <c r="G104" i="23" s="1"/>
  <c r="K160" i="23"/>
  <c r="R142" i="23"/>
  <c r="Q142" i="23"/>
  <c r="G160" i="23"/>
  <c r="O278" i="23"/>
  <c r="Q189" i="23"/>
  <c r="G234" i="23"/>
  <c r="Q252" i="23"/>
  <c r="T112" i="23"/>
  <c r="Q23" i="23"/>
  <c r="T207" i="23"/>
  <c r="T238" i="23" s="1"/>
  <c r="C238" i="23"/>
  <c r="Q25" i="23"/>
  <c r="K232" i="23"/>
  <c r="R187" i="23"/>
  <c r="M227" i="23"/>
  <c r="M214" i="23"/>
  <c r="H270" i="23"/>
  <c r="H84" i="23"/>
  <c r="O162" i="23"/>
  <c r="F131" i="23"/>
  <c r="N259" i="23"/>
  <c r="N85" i="23"/>
  <c r="N271" i="23"/>
  <c r="J161" i="23"/>
  <c r="K234" i="23"/>
  <c r="R189" i="23"/>
  <c r="Q187" i="23"/>
  <c r="G232" i="23"/>
  <c r="O227" i="23"/>
  <c r="O214" i="23"/>
  <c r="K227" i="23"/>
  <c r="K214" i="23"/>
  <c r="R178" i="23"/>
  <c r="G227" i="23"/>
  <c r="G214" i="23"/>
  <c r="Q178" i="23"/>
  <c r="C227" i="23"/>
  <c r="T178" i="23"/>
  <c r="T227" i="23" s="1"/>
  <c r="F228" i="23"/>
  <c r="F215" i="23"/>
  <c r="Q207" i="23"/>
  <c r="G238" i="23"/>
  <c r="I213" i="23"/>
  <c r="I99" i="23"/>
  <c r="I105" i="23" s="1"/>
  <c r="F160" i="23"/>
  <c r="R24" i="23"/>
  <c r="T54" i="23"/>
  <c r="A54" i="23"/>
  <c r="C85" i="23"/>
  <c r="R209" i="23"/>
  <c r="G233" i="23"/>
  <c r="Q188" i="23"/>
  <c r="J99" i="23"/>
  <c r="J105" i="23" s="1"/>
  <c r="L97" i="23"/>
  <c r="L103" i="23" s="1"/>
  <c r="O259" i="23"/>
  <c r="O271" i="23"/>
  <c r="O85" i="23"/>
  <c r="T124" i="23"/>
  <c r="E228" i="23"/>
  <c r="E215" i="23"/>
  <c r="E162" i="23"/>
  <c r="I214" i="23"/>
  <c r="H97" i="23"/>
  <c r="H103" i="23" s="1"/>
  <c r="O258" i="23"/>
  <c r="O270" i="23"/>
  <c r="O84" i="23"/>
  <c r="G258" i="23"/>
  <c r="G270" i="23"/>
  <c r="Q270" i="23" s="1"/>
  <c r="Q53" i="23"/>
  <c r="G84" i="23"/>
  <c r="W53" i="23"/>
  <c r="F97" i="20" s="1"/>
  <c r="T142" i="23"/>
  <c r="C160" i="23"/>
  <c r="T22" i="23"/>
  <c r="T123" i="23"/>
  <c r="C130" i="23"/>
  <c r="A23" i="23"/>
  <c r="T23" i="23"/>
  <c r="F85" i="20" s="1"/>
  <c r="Q72" i="23"/>
  <c r="K260" i="23"/>
  <c r="K272" i="23"/>
  <c r="R272" i="23" s="1"/>
  <c r="K86" i="23"/>
  <c r="R55" i="23"/>
  <c r="L226" i="23"/>
  <c r="L213" i="23"/>
  <c r="C226" i="23"/>
  <c r="T177" i="23"/>
  <c r="T226" i="23" s="1"/>
  <c r="H227" i="23"/>
  <c r="H214" i="23"/>
  <c r="D84" i="23"/>
  <c r="F130" i="23"/>
  <c r="K162" i="23"/>
  <c r="R144" i="23"/>
  <c r="J227" i="23"/>
  <c r="J214" i="23"/>
  <c r="O215" i="23"/>
  <c r="O228" i="23"/>
  <c r="K215" i="23"/>
  <c r="K228" i="23"/>
  <c r="R179" i="23"/>
  <c r="G215" i="23"/>
  <c r="G228" i="23"/>
  <c r="Q179" i="23"/>
  <c r="T179" i="23"/>
  <c r="T228" i="23" s="1"/>
  <c r="C228" i="23"/>
  <c r="N260" i="23"/>
  <c r="N272" i="23"/>
  <c r="Q272" i="23" s="1"/>
  <c r="N86" i="23"/>
  <c r="F86" i="23"/>
  <c r="E85" i="23"/>
  <c r="E98" i="23"/>
  <c r="E104" i="23" s="1"/>
  <c r="K239" i="23"/>
  <c r="R208" i="23"/>
  <c r="J226" i="23"/>
  <c r="J213" i="23"/>
  <c r="T156" i="23"/>
  <c r="E99" i="23"/>
  <c r="E105" i="23" s="1"/>
  <c r="N160" i="23"/>
  <c r="J160" i="23"/>
  <c r="Q253" i="23"/>
  <c r="I228" i="23"/>
  <c r="I215" i="23"/>
  <c r="K130" i="23"/>
  <c r="R112" i="23"/>
  <c r="T143" i="23"/>
  <c r="C161" i="23"/>
  <c r="L227" i="23"/>
  <c r="L214" i="23"/>
  <c r="F99" i="23"/>
  <c r="F105" i="23" s="1"/>
  <c r="D97" i="23"/>
  <c r="D103" i="23" s="1"/>
  <c r="Q155" i="23"/>
  <c r="Q112" i="23"/>
  <c r="G130" i="23"/>
  <c r="J215" i="23"/>
  <c r="T55" i="23"/>
  <c r="F93" i="20" s="1"/>
  <c r="O129" i="23"/>
  <c r="K258" i="23"/>
  <c r="R258" i="23" s="1"/>
  <c r="K270" i="23"/>
  <c r="K84" i="23"/>
  <c r="R53" i="23"/>
  <c r="C84" i="23"/>
  <c r="A53" i="23"/>
  <c r="T53" i="23"/>
  <c r="R266" i="23"/>
  <c r="Q266" i="23"/>
  <c r="K238" i="23"/>
  <c r="R207" i="23"/>
  <c r="T25" i="23"/>
  <c r="A25" i="23"/>
  <c r="T144" i="23"/>
  <c r="R23" i="23"/>
  <c r="Q117" i="23"/>
  <c r="T148" i="23"/>
  <c r="R264" i="23"/>
  <c r="O40" i="22"/>
  <c r="O39" i="22"/>
  <c r="O38" i="22"/>
  <c r="O37" i="22"/>
  <c r="N40" i="22"/>
  <c r="N39" i="22"/>
  <c r="N38" i="22"/>
  <c r="N37" i="22"/>
  <c r="N36" i="22"/>
  <c r="M40" i="22"/>
  <c r="M39" i="22"/>
  <c r="M38" i="22"/>
  <c r="M37" i="22"/>
  <c r="M36" i="22"/>
  <c r="M35" i="22"/>
  <c r="L40" i="22"/>
  <c r="L39" i="22"/>
  <c r="L38" i="22"/>
  <c r="L37" i="22"/>
  <c r="L36" i="22"/>
  <c r="L35" i="22"/>
  <c r="L34" i="22"/>
  <c r="K40" i="22"/>
  <c r="K39" i="22"/>
  <c r="K38" i="22"/>
  <c r="K37" i="22"/>
  <c r="K36" i="22"/>
  <c r="K35" i="22"/>
  <c r="K34" i="22"/>
  <c r="K33" i="22"/>
  <c r="K32" i="22"/>
  <c r="K31" i="22"/>
  <c r="J40" i="22"/>
  <c r="J39" i="22"/>
  <c r="J38" i="22"/>
  <c r="J37" i="22"/>
  <c r="J36" i="22"/>
  <c r="J35" i="22"/>
  <c r="J34" i="22"/>
  <c r="J33" i="22"/>
  <c r="J32" i="22"/>
  <c r="J31" i="22"/>
  <c r="J30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J29" i="22"/>
  <c r="I27" i="22"/>
  <c r="R40" i="22"/>
  <c r="Q40" i="22"/>
  <c r="Q39" i="22"/>
  <c r="P40" i="22"/>
  <c r="P39" i="22"/>
  <c r="P38" i="22"/>
  <c r="Z152" i="22"/>
  <c r="Z151" i="22"/>
  <c r="Y152" i="22"/>
  <c r="Y151" i="22"/>
  <c r="X152" i="22"/>
  <c r="X151" i="22"/>
  <c r="X150" i="22"/>
  <c r="Y150" i="22"/>
  <c r="X149" i="22"/>
  <c r="U152" i="22"/>
  <c r="U151" i="22"/>
  <c r="U150" i="22"/>
  <c r="U149" i="22"/>
  <c r="U148" i="22"/>
  <c r="U147" i="22"/>
  <c r="U146" i="22"/>
  <c r="V152" i="22"/>
  <c r="V151" i="22"/>
  <c r="V150" i="22"/>
  <c r="V149" i="22"/>
  <c r="V148" i="22"/>
  <c r="V147" i="22"/>
  <c r="W152" i="22"/>
  <c r="W151" i="22"/>
  <c r="W150" i="22"/>
  <c r="W149" i="22"/>
  <c r="W148" i="22"/>
  <c r="U145" i="22"/>
  <c r="V146" i="22"/>
  <c r="Q27" i="23" l="1"/>
  <c r="F84" i="20"/>
  <c r="L27" i="23"/>
  <c r="G30" i="23"/>
  <c r="F87" i="20"/>
  <c r="H58" i="23"/>
  <c r="F91" i="20"/>
  <c r="N59" i="23"/>
  <c r="F92" i="20"/>
  <c r="N276" i="23"/>
  <c r="Q258" i="23"/>
  <c r="Q260" i="23"/>
  <c r="L277" i="23"/>
  <c r="R270" i="23"/>
  <c r="M278" i="23"/>
  <c r="R271" i="23"/>
  <c r="R259" i="23"/>
  <c r="K277" i="23"/>
  <c r="L276" i="23"/>
  <c r="R260" i="23"/>
  <c r="O276" i="23"/>
  <c r="G277" i="23"/>
  <c r="M277" i="23"/>
  <c r="R28" i="23"/>
  <c r="I27" i="23"/>
  <c r="T162" i="23"/>
  <c r="O277" i="23"/>
  <c r="E59" i="23"/>
  <c r="D252" i="23"/>
  <c r="D254" i="23"/>
  <c r="D253" i="23"/>
  <c r="N278" i="23"/>
  <c r="Q278" i="23" s="1"/>
  <c r="O59" i="23"/>
  <c r="K59" i="23"/>
  <c r="O60" i="23"/>
  <c r="G60" i="23"/>
  <c r="D60" i="23"/>
  <c r="C60" i="23"/>
  <c r="L60" i="23"/>
  <c r="H60" i="23"/>
  <c r="Q130" i="23"/>
  <c r="T161" i="23"/>
  <c r="D58" i="23"/>
  <c r="L28" i="23"/>
  <c r="E28" i="23"/>
  <c r="J28" i="23"/>
  <c r="F28" i="23"/>
  <c r="I28" i="23"/>
  <c r="M28" i="23"/>
  <c r="N28" i="23"/>
  <c r="Q58" i="23"/>
  <c r="Q84" i="23"/>
  <c r="I244" i="23"/>
  <c r="K245" i="23"/>
  <c r="R214" i="23"/>
  <c r="Q30" i="23"/>
  <c r="G28" i="23"/>
  <c r="D28" i="23"/>
  <c r="H244" i="23"/>
  <c r="D244" i="23"/>
  <c r="C58" i="23"/>
  <c r="R84" i="23"/>
  <c r="R58" i="23"/>
  <c r="H28" i="23"/>
  <c r="R130" i="23"/>
  <c r="G246" i="23"/>
  <c r="Q215" i="23"/>
  <c r="J245" i="23"/>
  <c r="L244" i="23"/>
  <c r="R86" i="23"/>
  <c r="R60" i="23"/>
  <c r="D27" i="23"/>
  <c r="T160" i="23"/>
  <c r="G58" i="23"/>
  <c r="O58" i="23"/>
  <c r="C59" i="23"/>
  <c r="R29" i="23"/>
  <c r="N277" i="23"/>
  <c r="O28" i="23"/>
  <c r="Q160" i="23"/>
  <c r="G59" i="23"/>
  <c r="Q259" i="23"/>
  <c r="M60" i="23"/>
  <c r="N246" i="23"/>
  <c r="K276" i="23"/>
  <c r="D246" i="23"/>
  <c r="R213" i="23"/>
  <c r="K244" i="23"/>
  <c r="R131" i="23"/>
  <c r="F30" i="23"/>
  <c r="D30" i="23"/>
  <c r="J30" i="23"/>
  <c r="O30" i="23"/>
  <c r="K30" i="23"/>
  <c r="H30" i="23"/>
  <c r="N30" i="23"/>
  <c r="L30" i="23"/>
  <c r="E30" i="23"/>
  <c r="M30" i="23"/>
  <c r="E58" i="23"/>
  <c r="I58" i="23"/>
  <c r="M58" i="23"/>
  <c r="N58" i="23"/>
  <c r="I246" i="23"/>
  <c r="F60" i="23"/>
  <c r="O246" i="23"/>
  <c r="F246" i="23"/>
  <c r="M245" i="23"/>
  <c r="O244" i="23"/>
  <c r="Q161" i="23"/>
  <c r="R161" i="23"/>
  <c r="E29" i="23"/>
  <c r="O29" i="23"/>
  <c r="J29" i="23"/>
  <c r="M29" i="23"/>
  <c r="N29" i="23"/>
  <c r="I29" i="23"/>
  <c r="G29" i="23"/>
  <c r="F29" i="23"/>
  <c r="D245" i="23"/>
  <c r="H246" i="23"/>
  <c r="T131" i="23"/>
  <c r="I60" i="23"/>
  <c r="L245" i="23"/>
  <c r="J244" i="23"/>
  <c r="N60" i="23"/>
  <c r="H245" i="23"/>
  <c r="C28" i="23"/>
  <c r="T130" i="23"/>
  <c r="E246" i="23"/>
  <c r="G245" i="23"/>
  <c r="Q214" i="23"/>
  <c r="G276" i="23"/>
  <c r="E60" i="23"/>
  <c r="L58" i="23"/>
  <c r="H29" i="23"/>
  <c r="D29" i="23"/>
  <c r="T129" i="23"/>
  <c r="F139" i="20" s="1"/>
  <c r="R129" i="23"/>
  <c r="N245" i="23"/>
  <c r="I30" i="23"/>
  <c r="R162" i="23"/>
  <c r="R30" i="23"/>
  <c r="J60" i="23"/>
  <c r="E245" i="23"/>
  <c r="K28" i="23"/>
  <c r="C30" i="23"/>
  <c r="K58" i="23"/>
  <c r="J246" i="23"/>
  <c r="R215" i="23"/>
  <c r="K246" i="23"/>
  <c r="K60" i="23"/>
  <c r="E27" i="23"/>
  <c r="J27" i="23"/>
  <c r="C27" i="23"/>
  <c r="N27" i="23"/>
  <c r="F27" i="23"/>
  <c r="K27" i="23"/>
  <c r="H27" i="23"/>
  <c r="M27" i="23"/>
  <c r="G27" i="23"/>
  <c r="R27" i="23"/>
  <c r="I245" i="23"/>
  <c r="O27" i="23"/>
  <c r="J59" i="23"/>
  <c r="F59" i="23"/>
  <c r="M59" i="23"/>
  <c r="H59" i="23"/>
  <c r="I59" i="23"/>
  <c r="D59" i="23"/>
  <c r="L59" i="23"/>
  <c r="K29" i="23"/>
  <c r="O245" i="23"/>
  <c r="L29" i="23"/>
  <c r="Q28" i="23"/>
  <c r="R160" i="23"/>
  <c r="F244" i="23"/>
  <c r="Q59" i="23"/>
  <c r="Q85" i="23"/>
  <c r="Q271" i="23"/>
  <c r="Q29" i="23"/>
  <c r="G244" i="23"/>
  <c r="Q213" i="23"/>
  <c r="M246" i="23"/>
  <c r="K278" i="23"/>
  <c r="R278" i="23" s="1"/>
  <c r="Q129" i="23"/>
  <c r="L246" i="23"/>
  <c r="Q60" i="23"/>
  <c r="Q86" i="23"/>
  <c r="C29" i="23"/>
  <c r="F58" i="23"/>
  <c r="J58" i="23"/>
  <c r="R85" i="23"/>
  <c r="R59" i="23"/>
  <c r="O243" i="23"/>
  <c r="M244" i="23"/>
  <c r="V57" i="20"/>
  <c r="U57" i="20"/>
  <c r="T57" i="20"/>
  <c r="S57" i="20"/>
  <c r="Z56" i="20"/>
  <c r="X56" i="20"/>
  <c r="V56" i="20"/>
  <c r="U56" i="20"/>
  <c r="T56" i="20"/>
  <c r="S56" i="20"/>
  <c r="Z54" i="20"/>
  <c r="Y54" i="20"/>
  <c r="X54" i="20"/>
  <c r="V54" i="20"/>
  <c r="U54" i="20"/>
  <c r="T54" i="20"/>
  <c r="S54" i="20"/>
  <c r="Z53" i="20"/>
  <c r="Y53" i="20"/>
  <c r="X53" i="20"/>
  <c r="V53" i="20"/>
  <c r="U53" i="20"/>
  <c r="T53" i="20"/>
  <c r="S53" i="20"/>
  <c r="T263" i="17"/>
  <c r="R263" i="17"/>
  <c r="Q263" i="17"/>
  <c r="T251" i="17"/>
  <c r="R251" i="17"/>
  <c r="Q251" i="17"/>
  <c r="T263" i="18"/>
  <c r="R263" i="18"/>
  <c r="Q263" i="18"/>
  <c r="T251" i="18"/>
  <c r="R251" i="18"/>
  <c r="Q251" i="18"/>
  <c r="T263" i="15"/>
  <c r="R263" i="15"/>
  <c r="Q263" i="15"/>
  <c r="T251" i="15"/>
  <c r="R251" i="15"/>
  <c r="Q251" i="15"/>
  <c r="T263" i="21"/>
  <c r="R263" i="21"/>
  <c r="Q263" i="21"/>
  <c r="T251" i="21"/>
  <c r="R251" i="21"/>
  <c r="Q251" i="21"/>
  <c r="O266" i="19"/>
  <c r="N266" i="19"/>
  <c r="M266" i="19"/>
  <c r="L266" i="19"/>
  <c r="K266" i="19"/>
  <c r="I266" i="19"/>
  <c r="G266" i="19"/>
  <c r="O265" i="19"/>
  <c r="N265" i="19"/>
  <c r="M265" i="19"/>
  <c r="L265" i="19"/>
  <c r="K265" i="19"/>
  <c r="I265" i="19"/>
  <c r="G265" i="19"/>
  <c r="T263" i="19"/>
  <c r="R263" i="19"/>
  <c r="Q263" i="19"/>
  <c r="O254" i="19"/>
  <c r="N254" i="19"/>
  <c r="M254" i="19"/>
  <c r="L254" i="19"/>
  <c r="K254" i="19"/>
  <c r="I254" i="19"/>
  <c r="H254" i="19"/>
  <c r="G254" i="19"/>
  <c r="C254" i="19"/>
  <c r="O253" i="19"/>
  <c r="N253" i="19"/>
  <c r="M253" i="19"/>
  <c r="L253" i="19"/>
  <c r="K253" i="19"/>
  <c r="H253" i="19"/>
  <c r="G253" i="19"/>
  <c r="C253" i="19"/>
  <c r="O252" i="19"/>
  <c r="N252" i="19"/>
  <c r="M252" i="19"/>
  <c r="L252" i="19"/>
  <c r="K252" i="19"/>
  <c r="I252" i="19"/>
  <c r="H252" i="19"/>
  <c r="G252" i="19"/>
  <c r="E252" i="19"/>
  <c r="D252" i="19"/>
  <c r="C252" i="19"/>
  <c r="T251" i="19"/>
  <c r="R251" i="19"/>
  <c r="Q251" i="19"/>
  <c r="T263" i="5"/>
  <c r="R263" i="5"/>
  <c r="Q263" i="5"/>
  <c r="T251" i="5"/>
  <c r="R251" i="5"/>
  <c r="Q251" i="5"/>
  <c r="O266" i="1"/>
  <c r="N266" i="1"/>
  <c r="M266" i="1"/>
  <c r="L266" i="1"/>
  <c r="K266" i="1"/>
  <c r="I266" i="1"/>
  <c r="G266" i="1"/>
  <c r="O265" i="1"/>
  <c r="N265" i="1"/>
  <c r="M265" i="1"/>
  <c r="L265" i="1"/>
  <c r="K265" i="1"/>
  <c r="I265" i="1"/>
  <c r="G265" i="1"/>
  <c r="O264" i="1"/>
  <c r="N264" i="1"/>
  <c r="M264" i="1"/>
  <c r="L264" i="1"/>
  <c r="K264" i="1"/>
  <c r="I264" i="1"/>
  <c r="G264" i="1"/>
  <c r="T263" i="1"/>
  <c r="R263" i="1"/>
  <c r="Q263" i="1"/>
  <c r="O254" i="1"/>
  <c r="N254" i="1"/>
  <c r="M254" i="1"/>
  <c r="L254" i="1"/>
  <c r="K254" i="1"/>
  <c r="R254" i="1" s="1"/>
  <c r="I254" i="1"/>
  <c r="H254" i="1"/>
  <c r="G254" i="1"/>
  <c r="E254" i="1"/>
  <c r="D254" i="1"/>
  <c r="C254" i="1"/>
  <c r="O253" i="1"/>
  <c r="N253" i="1"/>
  <c r="M253" i="1"/>
  <c r="L253" i="1"/>
  <c r="K253" i="1"/>
  <c r="J253" i="1"/>
  <c r="I253" i="1"/>
  <c r="H253" i="1"/>
  <c r="G253" i="1"/>
  <c r="F253" i="1"/>
  <c r="E253" i="1"/>
  <c r="C253" i="1"/>
  <c r="O252" i="1"/>
  <c r="N252" i="1"/>
  <c r="M252" i="1"/>
  <c r="L252" i="1"/>
  <c r="K252" i="1"/>
  <c r="J252" i="1"/>
  <c r="H252" i="1"/>
  <c r="G252" i="1"/>
  <c r="D252" i="1"/>
  <c r="C252" i="1"/>
  <c r="T251" i="1"/>
  <c r="R251" i="1"/>
  <c r="Q251" i="1"/>
  <c r="R266" i="19" l="1"/>
  <c r="R265" i="19"/>
  <c r="Q252" i="1"/>
  <c r="R264" i="1"/>
  <c r="J136" i="23"/>
  <c r="F141" i="20"/>
  <c r="C166" i="23"/>
  <c r="F146" i="20"/>
  <c r="I167" i="23"/>
  <c r="F147" i="20"/>
  <c r="G135" i="23"/>
  <c r="F140" i="20"/>
  <c r="G165" i="23"/>
  <c r="F145" i="20"/>
  <c r="Q276" i="23"/>
  <c r="R277" i="23"/>
  <c r="R276" i="23"/>
  <c r="Q165" i="23"/>
  <c r="R165" i="23"/>
  <c r="J165" i="23"/>
  <c r="K165" i="23"/>
  <c r="C165" i="23"/>
  <c r="E165" i="23"/>
  <c r="F165" i="23"/>
  <c r="Q265" i="19"/>
  <c r="F166" i="23"/>
  <c r="Q134" i="23"/>
  <c r="Q277" i="23"/>
  <c r="N165" i="23"/>
  <c r="K166" i="23"/>
  <c r="J166" i="23"/>
  <c r="R265" i="1"/>
  <c r="T29" i="23"/>
  <c r="R252" i="19"/>
  <c r="H260" i="23"/>
  <c r="H259" i="23"/>
  <c r="H258" i="23"/>
  <c r="J253" i="23"/>
  <c r="J252" i="23"/>
  <c r="J254" i="23"/>
  <c r="E252" i="23"/>
  <c r="E254" i="23"/>
  <c r="E253" i="23"/>
  <c r="K167" i="23"/>
  <c r="H167" i="23"/>
  <c r="J167" i="23"/>
  <c r="C167" i="23"/>
  <c r="Q167" i="23"/>
  <c r="E167" i="23"/>
  <c r="O167" i="23"/>
  <c r="M167" i="23"/>
  <c r="L167" i="23"/>
  <c r="N167" i="23"/>
  <c r="D167" i="23"/>
  <c r="G167" i="23"/>
  <c r="Q264" i="1"/>
  <c r="R253" i="19"/>
  <c r="Q265" i="1"/>
  <c r="R252" i="1"/>
  <c r="Q253" i="1"/>
  <c r="R253" i="1"/>
  <c r="Q254" i="1"/>
  <c r="Q266" i="1"/>
  <c r="R266" i="1"/>
  <c r="F167" i="23"/>
  <c r="R254" i="19"/>
  <c r="Q266" i="19"/>
  <c r="I258" i="23"/>
  <c r="I259" i="23"/>
  <c r="I260" i="23"/>
  <c r="D259" i="23"/>
  <c r="D260" i="23"/>
  <c r="D258" i="23"/>
  <c r="F253" i="23"/>
  <c r="F252" i="23"/>
  <c r="F254" i="23"/>
  <c r="C272" i="23"/>
  <c r="C271" i="23"/>
  <c r="C270" i="23"/>
  <c r="R167" i="23"/>
  <c r="F259" i="23"/>
  <c r="F258" i="23"/>
  <c r="F260" i="23"/>
  <c r="I253" i="23"/>
  <c r="I252" i="23"/>
  <c r="I254" i="23"/>
  <c r="C252" i="23"/>
  <c r="C254" i="23"/>
  <c r="C253" i="23"/>
  <c r="C260" i="23"/>
  <c r="C259" i="23"/>
  <c r="C258" i="23"/>
  <c r="J258" i="23"/>
  <c r="J260" i="23"/>
  <c r="J259" i="23"/>
  <c r="E258" i="23"/>
  <c r="E259" i="23"/>
  <c r="E260" i="23"/>
  <c r="H254" i="23"/>
  <c r="H253" i="23"/>
  <c r="H252" i="23"/>
  <c r="I134" i="23"/>
  <c r="E134" i="23"/>
  <c r="D134" i="23"/>
  <c r="H134" i="23"/>
  <c r="L134" i="23"/>
  <c r="M134" i="23"/>
  <c r="J134" i="23"/>
  <c r="N134" i="23"/>
  <c r="G134" i="23"/>
  <c r="T27" i="23"/>
  <c r="K134" i="23"/>
  <c r="F135" i="23"/>
  <c r="O136" i="23"/>
  <c r="N136" i="23"/>
  <c r="G136" i="23"/>
  <c r="Q136" i="23"/>
  <c r="H136" i="23"/>
  <c r="L136" i="23"/>
  <c r="M136" i="23"/>
  <c r="C136" i="23"/>
  <c r="I136" i="23"/>
  <c r="D136" i="23"/>
  <c r="R166" i="23"/>
  <c r="Q166" i="23"/>
  <c r="K136" i="23"/>
  <c r="I165" i="23"/>
  <c r="M165" i="23"/>
  <c r="H165" i="23"/>
  <c r="L165" i="23"/>
  <c r="D165" i="23"/>
  <c r="O165" i="23"/>
  <c r="R135" i="23"/>
  <c r="T58" i="23"/>
  <c r="K135" i="23"/>
  <c r="O134" i="23"/>
  <c r="H166" i="23"/>
  <c r="D166" i="23"/>
  <c r="M166" i="23"/>
  <c r="E166" i="23"/>
  <c r="I166" i="23"/>
  <c r="O166" i="23"/>
  <c r="L166" i="23"/>
  <c r="N166" i="23"/>
  <c r="C134" i="23"/>
  <c r="C135" i="23"/>
  <c r="E136" i="23"/>
  <c r="F136" i="23"/>
  <c r="T60" i="23"/>
  <c r="F134" i="23"/>
  <c r="I135" i="23"/>
  <c r="D135" i="23"/>
  <c r="J135" i="23"/>
  <c r="L135" i="23"/>
  <c r="H135" i="23"/>
  <c r="N135" i="23"/>
  <c r="M135" i="23"/>
  <c r="E135" i="23"/>
  <c r="O135" i="23"/>
  <c r="T30" i="23"/>
  <c r="R134" i="23"/>
  <c r="T28" i="23"/>
  <c r="G166" i="23"/>
  <c r="R136" i="23"/>
  <c r="T59" i="23"/>
  <c r="Q135" i="23"/>
  <c r="F252" i="19"/>
  <c r="F254" i="19"/>
  <c r="F254" i="1"/>
  <c r="F252" i="1"/>
  <c r="F253" i="19"/>
  <c r="J252" i="19"/>
  <c r="E253" i="19"/>
  <c r="J254" i="1"/>
  <c r="E254" i="19"/>
  <c r="I253" i="19"/>
  <c r="D254" i="19"/>
  <c r="E252" i="1"/>
  <c r="I252" i="1"/>
  <c r="D253" i="1"/>
  <c r="D253" i="19"/>
  <c r="J253" i="19"/>
  <c r="J254" i="19"/>
  <c r="Q252" i="19"/>
  <c r="Q254" i="19"/>
  <c r="Q253" i="19"/>
  <c r="T252" i="1" l="1"/>
  <c r="T254" i="1"/>
  <c r="T253" i="19"/>
  <c r="T252" i="19"/>
  <c r="I277" i="23"/>
  <c r="T259" i="23"/>
  <c r="T165" i="23"/>
  <c r="C265" i="23"/>
  <c r="C264" i="23"/>
  <c r="C276" i="23" s="1"/>
  <c r="C266" i="23"/>
  <c r="C278" i="23" s="1"/>
  <c r="C266" i="19"/>
  <c r="C265" i="19"/>
  <c r="C266" i="1"/>
  <c r="C265" i="1"/>
  <c r="C264" i="1"/>
  <c r="E270" i="23"/>
  <c r="E272" i="23"/>
  <c r="E271" i="23"/>
  <c r="D271" i="23"/>
  <c r="D272" i="23"/>
  <c r="D270" i="23"/>
  <c r="F271" i="23"/>
  <c r="F270" i="23"/>
  <c r="F272" i="23"/>
  <c r="H265" i="23"/>
  <c r="H277" i="23" s="1"/>
  <c r="H264" i="23"/>
  <c r="H276" i="23" s="1"/>
  <c r="H266" i="23"/>
  <c r="H278" i="23" s="1"/>
  <c r="H266" i="19"/>
  <c r="H265" i="1"/>
  <c r="H264" i="1"/>
  <c r="H265" i="19"/>
  <c r="H266" i="1"/>
  <c r="F265" i="23"/>
  <c r="F264" i="23"/>
  <c r="F266" i="23"/>
  <c r="F265" i="19"/>
  <c r="F266" i="19"/>
  <c r="F266" i="1"/>
  <c r="F265" i="1"/>
  <c r="F264" i="1"/>
  <c r="E265" i="23"/>
  <c r="E264" i="23"/>
  <c r="E266" i="23"/>
  <c r="E265" i="19"/>
  <c r="E264" i="1"/>
  <c r="E266" i="1"/>
  <c r="E266" i="19"/>
  <c r="E265" i="1"/>
  <c r="J264" i="23"/>
  <c r="J276" i="23" s="1"/>
  <c r="J265" i="23"/>
  <c r="J277" i="23" s="1"/>
  <c r="J266" i="23"/>
  <c r="J278" i="23" s="1"/>
  <c r="J265" i="19"/>
  <c r="J266" i="19"/>
  <c r="J266" i="1"/>
  <c r="J265" i="1"/>
  <c r="J264" i="1"/>
  <c r="D266" i="23"/>
  <c r="D265" i="23"/>
  <c r="D264" i="23"/>
  <c r="D266" i="19"/>
  <c r="D265" i="1"/>
  <c r="D264" i="1"/>
  <c r="D265" i="19"/>
  <c r="D266" i="1"/>
  <c r="T252" i="23"/>
  <c r="T167" i="23"/>
  <c r="T258" i="23"/>
  <c r="T254" i="23"/>
  <c r="T260" i="23"/>
  <c r="I278" i="23"/>
  <c r="T166" i="23"/>
  <c r="T253" i="23"/>
  <c r="I276" i="23"/>
  <c r="T134" i="23"/>
  <c r="T135" i="23"/>
  <c r="T136" i="23"/>
  <c r="T253" i="1"/>
  <c r="T254" i="19"/>
  <c r="AL120" i="22"/>
  <c r="AL119" i="22"/>
  <c r="AL118" i="22"/>
  <c r="AC116" i="22"/>
  <c r="AL19" i="22"/>
  <c r="AL18" i="22"/>
  <c r="AL17" i="22"/>
  <c r="AL16" i="22"/>
  <c r="AL15" i="22"/>
  <c r="AL14" i="22"/>
  <c r="AL13" i="22"/>
  <c r="AL12" i="22"/>
  <c r="AL11" i="22"/>
  <c r="AL10" i="22"/>
  <c r="AL9" i="22"/>
  <c r="AL8" i="22"/>
  <c r="AL7" i="22"/>
  <c r="S4" i="22"/>
  <c r="T4" i="22" s="1"/>
  <c r="U4" i="22" s="1"/>
  <c r="V4" i="22" s="1"/>
  <c r="W4" i="22" s="1"/>
  <c r="X4" i="22" s="1"/>
  <c r="Y4" i="22" s="1"/>
  <c r="Z4" i="22" s="1"/>
  <c r="AA4" i="22" s="1"/>
  <c r="AB4" i="22" s="1"/>
  <c r="E277" i="23" l="1"/>
  <c r="D276" i="23"/>
  <c r="T266" i="19"/>
  <c r="T271" i="23"/>
  <c r="F277" i="23"/>
  <c r="F276" i="23"/>
  <c r="T270" i="23"/>
  <c r="T272" i="23"/>
  <c r="E276" i="23"/>
  <c r="F278" i="23"/>
  <c r="D278" i="23"/>
  <c r="T265" i="23"/>
  <c r="C277" i="23"/>
  <c r="T265" i="19"/>
  <c r="E278" i="23"/>
  <c r="T266" i="1"/>
  <c r="T266" i="23"/>
  <c r="D277" i="23"/>
  <c r="T264" i="1"/>
  <c r="T265" i="1"/>
  <c r="T264" i="23"/>
  <c r="T276" i="23" l="1"/>
  <c r="F151" i="20" s="1"/>
  <c r="T278" i="23"/>
  <c r="F153" i="20" s="1"/>
  <c r="T277" i="23"/>
  <c r="F152" i="20" s="1"/>
  <c r="T263" i="2"/>
  <c r="R263" i="2"/>
  <c r="Q263" i="2"/>
  <c r="T251" i="2"/>
  <c r="R251" i="2"/>
  <c r="Q251" i="2"/>
  <c r="D195" i="2" l="1"/>
  <c r="D194" i="2"/>
  <c r="D193" i="2"/>
  <c r="D192" i="2"/>
  <c r="E6" i="22"/>
  <c r="E7" i="22" s="1"/>
  <c r="E8" i="22" s="1"/>
  <c r="E9" i="22" s="1"/>
  <c r="E10" i="22" s="1"/>
  <c r="E11" i="22" s="1"/>
  <c r="E12" i="22" s="1"/>
  <c r="E13" i="22" s="1"/>
  <c r="E14" i="22" s="1"/>
  <c r="E15" i="22" s="1"/>
  <c r="E16" i="22" s="1"/>
  <c r="E17" i="22" s="1"/>
  <c r="E18" i="22" s="1"/>
  <c r="E19" i="22" s="1"/>
  <c r="E20" i="22" s="1"/>
  <c r="E21" i="22" s="1"/>
  <c r="E22" i="22" s="1"/>
  <c r="E23" i="22" s="1"/>
  <c r="E24" i="22" s="1"/>
  <c r="E25" i="22" s="1"/>
  <c r="E26" i="22" s="1"/>
  <c r="E27" i="22" s="1"/>
  <c r="E28" i="22" s="1"/>
  <c r="E29" i="22" s="1"/>
  <c r="E30" i="22" s="1"/>
  <c r="E31" i="22" s="1"/>
  <c r="E32" i="22" s="1"/>
  <c r="E33" i="22" s="1"/>
  <c r="E34" i="22" s="1"/>
  <c r="E35" i="22" s="1"/>
  <c r="E36" i="22" s="1"/>
  <c r="E37" i="22" s="1"/>
  <c r="E38" i="22" s="1"/>
  <c r="E39" i="22" s="1"/>
  <c r="E40" i="22" s="1"/>
  <c r="E118" i="22"/>
  <c r="E119" i="22" s="1"/>
  <c r="H152" i="22"/>
  <c r="H151" i="22"/>
  <c r="H150" i="22"/>
  <c r="H149" i="22"/>
  <c r="H148" i="22"/>
  <c r="H147" i="22"/>
  <c r="H146" i="22"/>
  <c r="H145" i="22"/>
  <c r="H144" i="22"/>
  <c r="H143" i="22"/>
  <c r="H142" i="22"/>
  <c r="H141" i="22"/>
  <c r="H140" i="22"/>
  <c r="H139" i="22"/>
  <c r="P139" i="22" s="1"/>
  <c r="H138" i="22"/>
  <c r="H137" i="22"/>
  <c r="H136" i="22"/>
  <c r="H135" i="22"/>
  <c r="H134" i="22"/>
  <c r="H133" i="22"/>
  <c r="H132" i="22"/>
  <c r="H131" i="22"/>
  <c r="H130" i="22"/>
  <c r="H129" i="22"/>
  <c r="H128" i="22"/>
  <c r="H127" i="22"/>
  <c r="H126" i="22"/>
  <c r="H125" i="22"/>
  <c r="H124" i="22"/>
  <c r="H123" i="22"/>
  <c r="H122" i="22"/>
  <c r="H121" i="22"/>
  <c r="H120" i="22"/>
  <c r="H118" i="22"/>
  <c r="H119" i="22"/>
  <c r="H154" i="22"/>
  <c r="H6" i="22"/>
  <c r="E53" i="22"/>
  <c r="G53" i="22" s="1"/>
  <c r="E52" i="22"/>
  <c r="G52" i="22" s="1"/>
  <c r="E51" i="22"/>
  <c r="G51" i="22" s="1"/>
  <c r="E50" i="22"/>
  <c r="G50" i="22" s="1"/>
  <c r="E49" i="22"/>
  <c r="G49" i="22" s="1"/>
  <c r="E48" i="22"/>
  <c r="G48" i="22" s="1"/>
  <c r="E47" i="22"/>
  <c r="E46" i="22"/>
  <c r="G46" i="22" s="1"/>
  <c r="H46" i="22" s="1"/>
  <c r="I42" i="22"/>
  <c r="AL6" i="22"/>
  <c r="S151" i="22" l="1"/>
  <c r="S147" i="22"/>
  <c r="S143" i="22"/>
  <c r="S150" i="22"/>
  <c r="S146" i="22"/>
  <c r="S149" i="22"/>
  <c r="S145" i="22"/>
  <c r="S152" i="22"/>
  <c r="S148" i="22"/>
  <c r="S144" i="22"/>
  <c r="Q152" i="22"/>
  <c r="Q148" i="22"/>
  <c r="Q144" i="22"/>
  <c r="Q151" i="22"/>
  <c r="Q147" i="22"/>
  <c r="Q143" i="22"/>
  <c r="Q150" i="22"/>
  <c r="Q146" i="22"/>
  <c r="Q142" i="22"/>
  <c r="Q149" i="22"/>
  <c r="Q145" i="22"/>
  <c r="Q141" i="22"/>
  <c r="Q140" i="22"/>
  <c r="T151" i="22"/>
  <c r="T147" i="22"/>
  <c r="T144" i="22"/>
  <c r="T150" i="22"/>
  <c r="T146" i="22"/>
  <c r="T149" i="22"/>
  <c r="T145" i="22"/>
  <c r="T152" i="22"/>
  <c r="T148" i="22"/>
  <c r="R149" i="22"/>
  <c r="R145" i="22"/>
  <c r="R141" i="22"/>
  <c r="R152" i="22"/>
  <c r="R148" i="22"/>
  <c r="R144" i="22"/>
  <c r="R151" i="22"/>
  <c r="R147" i="22"/>
  <c r="R143" i="22"/>
  <c r="R150" i="22"/>
  <c r="R146" i="22"/>
  <c r="R142" i="22"/>
  <c r="P149" i="22"/>
  <c r="P145" i="22"/>
  <c r="P141" i="22"/>
  <c r="O150" i="22"/>
  <c r="O146" i="22"/>
  <c r="O142" i="22"/>
  <c r="O138" i="22"/>
  <c r="P152" i="22"/>
  <c r="P148" i="22"/>
  <c r="P144" i="22"/>
  <c r="P140" i="22"/>
  <c r="O149" i="22"/>
  <c r="O145" i="22"/>
  <c r="O141" i="22"/>
  <c r="P151" i="22"/>
  <c r="P147" i="22"/>
  <c r="P143" i="22"/>
  <c r="O152" i="22"/>
  <c r="O148" i="22"/>
  <c r="O144" i="22"/>
  <c r="O140" i="22"/>
  <c r="P150" i="22"/>
  <c r="P146" i="22"/>
  <c r="P142" i="22"/>
  <c r="O151" i="22"/>
  <c r="O147" i="22"/>
  <c r="O143" i="22"/>
  <c r="O139" i="22"/>
  <c r="G47" i="22"/>
  <c r="H47" i="22" s="1"/>
  <c r="E120" i="22"/>
  <c r="F119" i="22"/>
  <c r="H48" i="22" l="1"/>
  <c r="F120" i="22"/>
  <c r="E121" i="22"/>
  <c r="H49" i="22" l="1"/>
  <c r="E122" i="22"/>
  <c r="F121" i="22"/>
  <c r="H50" i="22" l="1"/>
  <c r="F122" i="22"/>
  <c r="E123" i="22"/>
  <c r="H51" i="22"/>
  <c r="F123" i="22" l="1"/>
  <c r="E124" i="22"/>
  <c r="H52" i="22"/>
  <c r="F124" i="22" l="1"/>
  <c r="E125" i="22"/>
  <c r="H53" i="22"/>
  <c r="F125" i="22" l="1"/>
  <c r="E126" i="22"/>
  <c r="H54" i="22"/>
  <c r="F126" i="22" l="1"/>
  <c r="E127" i="22"/>
  <c r="H55" i="22"/>
  <c r="F127" i="22" l="1"/>
  <c r="E128" i="22"/>
  <c r="H56" i="22"/>
  <c r="E129" i="22" l="1"/>
  <c r="F128" i="22"/>
  <c r="H57" i="22"/>
  <c r="F129" i="22" l="1"/>
  <c r="E130" i="22"/>
  <c r="H58" i="22"/>
  <c r="F130" i="22" l="1"/>
  <c r="E131" i="22"/>
  <c r="H59" i="22"/>
  <c r="F131" i="22" l="1"/>
  <c r="E132" i="22"/>
  <c r="H60" i="22"/>
  <c r="F132" i="22" l="1"/>
  <c r="E133" i="22"/>
  <c r="H61" i="22"/>
  <c r="E134" i="22" l="1"/>
  <c r="F133" i="22"/>
  <c r="H62" i="22"/>
  <c r="F134" i="22" l="1"/>
  <c r="E135" i="22"/>
  <c r="H63" i="22"/>
  <c r="F135" i="22" l="1"/>
  <c r="E136" i="22"/>
  <c r="H64" i="22"/>
  <c r="F136" i="22" l="1"/>
  <c r="E137" i="22"/>
  <c r="H65" i="22"/>
  <c r="F137" i="22" l="1"/>
  <c r="E138" i="22"/>
  <c r="H66" i="22"/>
  <c r="F138" i="22" l="1"/>
  <c r="E139" i="22"/>
  <c r="H67" i="22"/>
  <c r="F139" i="22" l="1"/>
  <c r="E140" i="22"/>
  <c r="H68" i="22"/>
  <c r="E141" i="22" l="1"/>
  <c r="F140" i="22"/>
  <c r="H69" i="22"/>
  <c r="F141" i="22" l="1"/>
  <c r="E142" i="22"/>
  <c r="H70" i="22"/>
  <c r="F142" i="22" l="1"/>
  <c r="E143" i="22"/>
  <c r="H71" i="22"/>
  <c r="F143" i="22" l="1"/>
  <c r="E144" i="22"/>
  <c r="H72" i="22"/>
  <c r="F144" i="22" l="1"/>
  <c r="E145" i="22"/>
  <c r="H73" i="22"/>
  <c r="F145" i="22" l="1"/>
  <c r="E146" i="22"/>
  <c r="H74" i="22"/>
  <c r="F146" i="22" l="1"/>
  <c r="E147" i="22"/>
  <c r="H75" i="22"/>
  <c r="F147" i="22" l="1"/>
  <c r="E148" i="22"/>
  <c r="H76" i="22"/>
  <c r="F148" i="22" l="1"/>
  <c r="E149" i="22"/>
  <c r="H77" i="22"/>
  <c r="E150" i="22" l="1"/>
  <c r="F149" i="22"/>
  <c r="H78" i="22"/>
  <c r="H79" i="22" s="1"/>
  <c r="H80" i="22" s="1"/>
  <c r="H81" i="22" s="1"/>
  <c r="H82" i="22" s="1"/>
  <c r="H83" i="22" s="1"/>
  <c r="H84" i="22" s="1"/>
  <c r="H85" i="22" s="1"/>
  <c r="H86" i="22" s="1"/>
  <c r="H87" i="22" s="1"/>
  <c r="H88" i="22" s="1"/>
  <c r="H89" i="22" s="1"/>
  <c r="H90" i="22" s="1"/>
  <c r="H91" i="22" s="1"/>
  <c r="H92" i="22" s="1"/>
  <c r="H93" i="22" s="1"/>
  <c r="H94" i="22" s="1"/>
  <c r="H95" i="22" s="1"/>
  <c r="H96" i="22" s="1"/>
  <c r="H97" i="22" s="1"/>
  <c r="H98" i="22" s="1"/>
  <c r="H99" i="22" s="1"/>
  <c r="H100" i="22" s="1"/>
  <c r="H101" i="22" s="1"/>
  <c r="H102" i="22" s="1"/>
  <c r="H103" i="22" s="1"/>
  <c r="H104" i="22" s="1"/>
  <c r="H105" i="22" s="1"/>
  <c r="H42" i="22" s="1"/>
  <c r="F150" i="22" l="1"/>
  <c r="E151" i="22"/>
  <c r="F151" i="22" l="1"/>
  <c r="E152" i="22"/>
  <c r="F152" i="22" l="1"/>
  <c r="E165" i="22"/>
  <c r="E164" i="22"/>
  <c r="E163" i="22"/>
  <c r="E162" i="22"/>
  <c r="E161" i="22"/>
  <c r="E160" i="22"/>
  <c r="E159" i="22"/>
  <c r="E158" i="22"/>
  <c r="F158" i="22" l="1"/>
  <c r="G158" i="22" s="1"/>
  <c r="F162" i="22"/>
  <c r="F159" i="22"/>
  <c r="F163" i="22"/>
  <c r="F160" i="22"/>
  <c r="F164" i="22"/>
  <c r="F161" i="22"/>
  <c r="F165" i="22"/>
  <c r="G159" i="22" l="1"/>
  <c r="K125" i="22"/>
  <c r="N129" i="22"/>
  <c r="I121" i="22"/>
  <c r="AL121" i="22" s="1"/>
  <c r="M128" i="22"/>
  <c r="L126" i="22"/>
  <c r="J123" i="22"/>
  <c r="G160" i="22" l="1"/>
  <c r="M129" i="22"/>
  <c r="L127" i="22"/>
  <c r="I122" i="22"/>
  <c r="AL122" i="22" s="1"/>
  <c r="K126" i="22"/>
  <c r="J124" i="22"/>
  <c r="N130" i="22"/>
  <c r="G161" i="22" l="1"/>
  <c r="I123" i="22"/>
  <c r="AL123" i="22" s="1"/>
  <c r="K127" i="22"/>
  <c r="M130" i="22"/>
  <c r="N131" i="22"/>
  <c r="J125" i="22"/>
  <c r="L128" i="22"/>
  <c r="G162" i="22" l="1"/>
  <c r="I124" i="22"/>
  <c r="AL124" i="22" s="1"/>
  <c r="K128" i="22"/>
  <c r="L129" i="22"/>
  <c r="M131" i="22"/>
  <c r="J126" i="22"/>
  <c r="N132" i="22"/>
  <c r="G163" i="22" l="1"/>
  <c r="N133" i="22"/>
  <c r="K129" i="22"/>
  <c r="M132" i="22"/>
  <c r="J127" i="22"/>
  <c r="L130" i="22"/>
  <c r="I125" i="22"/>
  <c r="AL125" i="22" s="1"/>
  <c r="G164" i="22" l="1"/>
  <c r="M133" i="22"/>
  <c r="L131" i="22"/>
  <c r="K130" i="22"/>
  <c r="I126" i="22"/>
  <c r="AL126" i="22" s="1"/>
  <c r="N134" i="22"/>
  <c r="J128" i="22"/>
  <c r="G165" i="22" l="1"/>
  <c r="J129" i="22"/>
  <c r="M134" i="22"/>
  <c r="N135" i="22"/>
  <c r="K131" i="22"/>
  <c r="L132" i="22"/>
  <c r="I127" i="22"/>
  <c r="AL127" i="22" s="1"/>
  <c r="G166" i="22" l="1"/>
  <c r="L133" i="22"/>
  <c r="M135" i="22"/>
  <c r="K132" i="22"/>
  <c r="N136" i="22"/>
  <c r="J130" i="22"/>
  <c r="I128" i="22"/>
  <c r="AL128" i="22" s="1"/>
  <c r="G167" i="22" l="1"/>
  <c r="M136" i="22"/>
  <c r="K133" i="22"/>
  <c r="N137" i="22"/>
  <c r="L134" i="22"/>
  <c r="J131" i="22"/>
  <c r="I129" i="22"/>
  <c r="AL129" i="22" s="1"/>
  <c r="G168" i="22" l="1"/>
  <c r="I130" i="22"/>
  <c r="AL130" i="22" s="1"/>
  <c r="L135" i="22"/>
  <c r="K134" i="22"/>
  <c r="M137" i="22"/>
  <c r="N138" i="22"/>
  <c r="J132" i="22"/>
  <c r="G169" i="22" l="1"/>
  <c r="I131" i="22"/>
  <c r="AL131" i="22" s="1"/>
  <c r="J133" i="22"/>
  <c r="K135" i="22"/>
  <c r="L136" i="22"/>
  <c r="M138" i="22"/>
  <c r="N139" i="22"/>
  <c r="G170" i="22" l="1"/>
  <c r="M139" i="22"/>
  <c r="I132" i="22"/>
  <c r="AL132" i="22" s="1"/>
  <c r="N140" i="22"/>
  <c r="L137" i="22"/>
  <c r="K136" i="22"/>
  <c r="J134" i="22"/>
  <c r="G171" i="22" l="1"/>
  <c r="J135" i="22"/>
  <c r="N141" i="22"/>
  <c r="I133" i="22"/>
  <c r="AL133" i="22" s="1"/>
  <c r="K137" i="22"/>
  <c r="L138" i="22"/>
  <c r="M140" i="22"/>
  <c r="G172" i="22" l="1"/>
  <c r="N142" i="22"/>
  <c r="L139" i="22"/>
  <c r="M141" i="22"/>
  <c r="K138" i="22"/>
  <c r="I134" i="22"/>
  <c r="AL134" i="22" s="1"/>
  <c r="J136" i="22"/>
  <c r="G173" i="22" l="1"/>
  <c r="M142" i="22"/>
  <c r="J137" i="22"/>
  <c r="L140" i="22"/>
  <c r="N143" i="22"/>
  <c r="I135" i="22"/>
  <c r="AL135" i="22" s="1"/>
  <c r="K139" i="22"/>
  <c r="G174" i="22" l="1"/>
  <c r="N144" i="22"/>
  <c r="J138" i="22"/>
  <c r="M143" i="22"/>
  <c r="L141" i="22"/>
  <c r="K140" i="22"/>
  <c r="I136" i="22"/>
  <c r="AL136" i="22" s="1"/>
  <c r="G175" i="22" l="1"/>
  <c r="K141" i="22"/>
  <c r="M144" i="22"/>
  <c r="L142" i="22"/>
  <c r="I137" i="22"/>
  <c r="AL137" i="22" s="1"/>
  <c r="N145" i="22"/>
  <c r="J139" i="22"/>
  <c r="G176" i="22" l="1"/>
  <c r="L143" i="22"/>
  <c r="N146" i="22"/>
  <c r="K142" i="22"/>
  <c r="I138" i="22"/>
  <c r="AL138" i="22" s="1"/>
  <c r="J140" i="22"/>
  <c r="M145" i="22"/>
  <c r="G177" i="22" l="1"/>
  <c r="M146" i="22"/>
  <c r="N147" i="22"/>
  <c r="J141" i="22"/>
  <c r="K143" i="22"/>
  <c r="L144" i="22"/>
  <c r="I139" i="22"/>
  <c r="AL139" i="22" s="1"/>
  <c r="G178" i="22" l="1"/>
  <c r="M147" i="22"/>
  <c r="I140" i="22"/>
  <c r="AL140" i="22" s="1"/>
  <c r="K144" i="22"/>
  <c r="N148" i="22"/>
  <c r="J142" i="22"/>
  <c r="L145" i="22"/>
  <c r="G179" i="22" l="1"/>
  <c r="N149" i="22"/>
  <c r="J143" i="22"/>
  <c r="L146" i="22"/>
  <c r="I141" i="22"/>
  <c r="AL141" i="22" s="1"/>
  <c r="M148" i="22"/>
  <c r="K145" i="22"/>
  <c r="G180" i="22" l="1"/>
  <c r="M149" i="22"/>
  <c r="L147" i="22"/>
  <c r="K146" i="22"/>
  <c r="J144" i="22"/>
  <c r="I142" i="22"/>
  <c r="AL142" i="22" s="1"/>
  <c r="N150" i="22"/>
  <c r="G181" i="22" l="1"/>
  <c r="I143" i="22"/>
  <c r="AL143" i="22" s="1"/>
  <c r="N151" i="22"/>
  <c r="K147" i="22"/>
  <c r="L148" i="22"/>
  <c r="M150" i="22"/>
  <c r="J145" i="22"/>
  <c r="G182" i="22" l="1"/>
  <c r="M151" i="22"/>
  <c r="I144" i="22"/>
  <c r="AL144" i="22" s="1"/>
  <c r="N152" i="22"/>
  <c r="J146" i="22"/>
  <c r="K148" i="22"/>
  <c r="L149" i="22"/>
  <c r="G183" i="22" l="1"/>
  <c r="J147" i="22"/>
  <c r="I145" i="22"/>
  <c r="AL145" i="22" s="1"/>
  <c r="K149" i="22"/>
  <c r="L150" i="22"/>
  <c r="M152" i="22"/>
  <c r="G184" i="22" l="1"/>
  <c r="J148" i="22"/>
  <c r="I146" i="22"/>
  <c r="AL146" i="22" s="1"/>
  <c r="L151" i="22"/>
  <c r="K150" i="22"/>
  <c r="G185" i="22" l="1"/>
  <c r="I147" i="22"/>
  <c r="AL147" i="22" s="1"/>
  <c r="K151" i="22"/>
  <c r="L152" i="22"/>
  <c r="J149" i="22"/>
  <c r="G186" i="22" l="1"/>
  <c r="K152" i="22"/>
  <c r="J150" i="22"/>
  <c r="I148" i="22"/>
  <c r="AL148" i="22" s="1"/>
  <c r="G187" i="22" l="1"/>
  <c r="J151" i="22"/>
  <c r="I149" i="22"/>
  <c r="AL149" i="22" s="1"/>
  <c r="G188" i="22" l="1"/>
  <c r="J152" i="22"/>
  <c r="I150" i="22"/>
  <c r="AL150" i="22" s="1"/>
  <c r="G189" i="22" l="1"/>
  <c r="I151" i="22"/>
  <c r="AL151" i="22" s="1"/>
  <c r="G190" i="22" l="1"/>
  <c r="G191" i="22" s="1"/>
  <c r="G192" i="22" s="1"/>
  <c r="G193" i="22" s="1"/>
  <c r="G194" i="22" s="1"/>
  <c r="G195" i="22" s="1"/>
  <c r="G196" i="22" s="1"/>
  <c r="G197" i="22" s="1"/>
  <c r="G198" i="22" s="1"/>
  <c r="G199" i="22" s="1"/>
  <c r="G200" i="22" s="1"/>
  <c r="G201" i="22" s="1"/>
  <c r="G202" i="22" s="1"/>
  <c r="G203" i="22" s="1"/>
  <c r="G204" i="22" s="1"/>
  <c r="G205" i="22" s="1"/>
  <c r="G206" i="22" s="1"/>
  <c r="G207" i="22" s="1"/>
  <c r="G208" i="22" s="1"/>
  <c r="G209" i="22" s="1"/>
  <c r="G210" i="22" s="1"/>
  <c r="G211" i="22" s="1"/>
  <c r="G212" i="22" s="1"/>
  <c r="G213" i="22" s="1"/>
  <c r="G214" i="22" s="1"/>
  <c r="G215" i="22" s="1"/>
  <c r="G216" i="22" s="1"/>
  <c r="G217" i="22" s="1"/>
  <c r="I152" i="22"/>
  <c r="AL152" i="22" s="1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Q10" i="17"/>
  <c r="G154" i="22" l="1"/>
  <c r="R10" i="17"/>
  <c r="C181" i="21" l="1"/>
  <c r="O93" i="1" l="1"/>
  <c r="O92" i="1"/>
  <c r="O91" i="1"/>
  <c r="O90" i="1"/>
  <c r="O203" i="17"/>
  <c r="O202" i="17"/>
  <c r="O201" i="17"/>
  <c r="O200" i="17"/>
  <c r="O199" i="17"/>
  <c r="O198" i="17"/>
  <c r="O197" i="17"/>
  <c r="O196" i="17"/>
  <c r="O195" i="17"/>
  <c r="O194" i="17"/>
  <c r="O193" i="17"/>
  <c r="O192" i="17"/>
  <c r="O183" i="17"/>
  <c r="O182" i="17"/>
  <c r="O181" i="17"/>
  <c r="O173" i="17"/>
  <c r="O172" i="17"/>
  <c r="O171" i="17"/>
  <c r="O203" i="18"/>
  <c r="O202" i="18"/>
  <c r="O201" i="18"/>
  <c r="O200" i="18"/>
  <c r="O199" i="18"/>
  <c r="O198" i="18"/>
  <c r="O197" i="18"/>
  <c r="O196" i="18"/>
  <c r="O195" i="18"/>
  <c r="O194" i="18"/>
  <c r="O193" i="18"/>
  <c r="O192" i="18"/>
  <c r="O183" i="18"/>
  <c r="O182" i="18"/>
  <c r="O181" i="18"/>
  <c r="O173" i="18"/>
  <c r="O172" i="18"/>
  <c r="O171" i="18"/>
  <c r="O203" i="15"/>
  <c r="O202" i="15"/>
  <c r="O201" i="15"/>
  <c r="O200" i="15"/>
  <c r="O199" i="15"/>
  <c r="O198" i="15"/>
  <c r="O197" i="15"/>
  <c r="O196" i="15"/>
  <c r="O195" i="15"/>
  <c r="O194" i="15"/>
  <c r="O193" i="15"/>
  <c r="O192" i="15"/>
  <c r="O183" i="15"/>
  <c r="O182" i="15"/>
  <c r="O181" i="15"/>
  <c r="O173" i="15"/>
  <c r="O172" i="15"/>
  <c r="O171" i="15"/>
  <c r="O203" i="19"/>
  <c r="O202" i="19"/>
  <c r="O201" i="19"/>
  <c r="O200" i="19"/>
  <c r="O199" i="19"/>
  <c r="O198" i="19"/>
  <c r="O197" i="19"/>
  <c r="O196" i="19"/>
  <c r="O195" i="19"/>
  <c r="O194" i="19"/>
  <c r="O193" i="19"/>
  <c r="O192" i="19"/>
  <c r="O183" i="19"/>
  <c r="O182" i="19"/>
  <c r="O181" i="19"/>
  <c r="O173" i="19"/>
  <c r="O172" i="19"/>
  <c r="O171" i="19"/>
  <c r="O203" i="5"/>
  <c r="O202" i="5"/>
  <c r="O201" i="5"/>
  <c r="O200" i="5"/>
  <c r="O199" i="5"/>
  <c r="O198" i="5"/>
  <c r="O197" i="5"/>
  <c r="O196" i="5"/>
  <c r="O195" i="5"/>
  <c r="O194" i="5"/>
  <c r="O193" i="5"/>
  <c r="O192" i="5"/>
  <c r="O183" i="5"/>
  <c r="O182" i="5"/>
  <c r="O181" i="5"/>
  <c r="O173" i="5"/>
  <c r="O172" i="5"/>
  <c r="O171" i="5"/>
  <c r="O203" i="2"/>
  <c r="O202" i="2"/>
  <c r="O201" i="2"/>
  <c r="O200" i="2"/>
  <c r="O199" i="2"/>
  <c r="O198" i="2"/>
  <c r="O197" i="2"/>
  <c r="O196" i="2"/>
  <c r="O195" i="2"/>
  <c r="O194" i="2"/>
  <c r="O193" i="2"/>
  <c r="O192" i="2"/>
  <c r="O183" i="2"/>
  <c r="O182" i="2"/>
  <c r="O181" i="2"/>
  <c r="O173" i="2"/>
  <c r="O172" i="2"/>
  <c r="O171" i="2"/>
  <c r="O203" i="1"/>
  <c r="O202" i="1"/>
  <c r="O201" i="1"/>
  <c r="O200" i="1"/>
  <c r="O199" i="1"/>
  <c r="O198" i="1"/>
  <c r="O197" i="1"/>
  <c r="O196" i="1"/>
  <c r="O195" i="1"/>
  <c r="O194" i="1"/>
  <c r="O193" i="1"/>
  <c r="O192" i="1"/>
  <c r="O183" i="1"/>
  <c r="O182" i="1"/>
  <c r="O181" i="1"/>
  <c r="O173" i="1"/>
  <c r="O172" i="1"/>
  <c r="O171" i="1"/>
  <c r="O110" i="1" l="1"/>
  <c r="O93" i="17"/>
  <c r="O92" i="17"/>
  <c r="O91" i="17"/>
  <c r="O90" i="17"/>
  <c r="O209" i="17"/>
  <c r="O208" i="17"/>
  <c r="O207" i="17"/>
  <c r="O206" i="17"/>
  <c r="O116" i="17"/>
  <c r="O34" i="17"/>
  <c r="O141" i="17" s="1"/>
  <c r="T19" i="17"/>
  <c r="R19" i="17"/>
  <c r="Q19" i="17"/>
  <c r="T18" i="17"/>
  <c r="R18" i="17"/>
  <c r="Q18" i="17"/>
  <c r="T17" i="17"/>
  <c r="R17" i="17"/>
  <c r="Q17" i="17"/>
  <c r="T16" i="17"/>
  <c r="R16" i="17"/>
  <c r="Q16" i="17"/>
  <c r="O13" i="17"/>
  <c r="O12" i="17"/>
  <c r="O11" i="17"/>
  <c r="O7" i="17"/>
  <c r="O6" i="17"/>
  <c r="O5" i="17"/>
  <c r="O4" i="17"/>
  <c r="O93" i="18"/>
  <c r="O92" i="18"/>
  <c r="O91" i="18"/>
  <c r="O90" i="18"/>
  <c r="O209" i="18"/>
  <c r="O208" i="18"/>
  <c r="O207" i="18"/>
  <c r="O150" i="18"/>
  <c r="O149" i="18"/>
  <c r="O147" i="18"/>
  <c r="O144" i="18"/>
  <c r="O142" i="18"/>
  <c r="O34" i="18"/>
  <c r="O141" i="18" s="1"/>
  <c r="T19" i="18"/>
  <c r="R19" i="18"/>
  <c r="Q19" i="18"/>
  <c r="T18" i="18"/>
  <c r="R18" i="18"/>
  <c r="Q18" i="18"/>
  <c r="T17" i="18"/>
  <c r="R17" i="18"/>
  <c r="Q17" i="18"/>
  <c r="T16" i="18"/>
  <c r="R16" i="18"/>
  <c r="Q16" i="18"/>
  <c r="O13" i="18"/>
  <c r="O12" i="18"/>
  <c r="O11" i="18"/>
  <c r="O10" i="18"/>
  <c r="O7" i="18"/>
  <c r="O179" i="18" s="1"/>
  <c r="O6" i="18"/>
  <c r="O5" i="18"/>
  <c r="O4" i="18"/>
  <c r="O93" i="15"/>
  <c r="O92" i="15"/>
  <c r="O91" i="15"/>
  <c r="O90" i="15"/>
  <c r="O209" i="15"/>
  <c r="O208" i="15"/>
  <c r="O239" i="15" s="1"/>
  <c r="O206" i="15"/>
  <c r="O34" i="15"/>
  <c r="T19" i="15"/>
  <c r="R19" i="15"/>
  <c r="Q19" i="15"/>
  <c r="T18" i="15"/>
  <c r="R18" i="15"/>
  <c r="Q18" i="15"/>
  <c r="T17" i="15"/>
  <c r="R17" i="15"/>
  <c r="Q17" i="15"/>
  <c r="T16" i="15"/>
  <c r="R16" i="15"/>
  <c r="Q16" i="15"/>
  <c r="O13" i="15"/>
  <c r="O12" i="15"/>
  <c r="O11" i="15"/>
  <c r="O10" i="15"/>
  <c r="O186" i="15" s="1"/>
  <c r="O7" i="15"/>
  <c r="O6" i="15"/>
  <c r="O5" i="15"/>
  <c r="O4" i="15"/>
  <c r="O93" i="21"/>
  <c r="O92" i="21"/>
  <c r="O91" i="21"/>
  <c r="O90" i="21"/>
  <c r="O209" i="21"/>
  <c r="O124" i="21"/>
  <c r="O207" i="21"/>
  <c r="O206" i="21"/>
  <c r="O119" i="21"/>
  <c r="O144" i="21"/>
  <c r="O34" i="21"/>
  <c r="T19" i="21"/>
  <c r="R19" i="21"/>
  <c r="Q19" i="21"/>
  <c r="T18" i="21"/>
  <c r="R18" i="21"/>
  <c r="Q18" i="21"/>
  <c r="T17" i="21"/>
  <c r="R17" i="21"/>
  <c r="Q17" i="21"/>
  <c r="T16" i="21"/>
  <c r="R16" i="21"/>
  <c r="Q16" i="21"/>
  <c r="O13" i="21"/>
  <c r="O12" i="21"/>
  <c r="O11" i="21"/>
  <c r="O10" i="21"/>
  <c r="O7" i="21"/>
  <c r="O6" i="21"/>
  <c r="O178" i="21" s="1"/>
  <c r="O5" i="21"/>
  <c r="O4" i="21"/>
  <c r="O93" i="19"/>
  <c r="O92" i="19"/>
  <c r="O91" i="19"/>
  <c r="O90" i="19"/>
  <c r="O209" i="19"/>
  <c r="O240" i="19" s="1"/>
  <c r="O208" i="19"/>
  <c r="O239" i="19" s="1"/>
  <c r="O78" i="19"/>
  <c r="O206" i="19"/>
  <c r="O187" i="19"/>
  <c r="O34" i="19"/>
  <c r="T19" i="19"/>
  <c r="R19" i="19"/>
  <c r="Q19" i="19"/>
  <c r="T18" i="19"/>
  <c r="R18" i="19"/>
  <c r="Q18" i="19"/>
  <c r="T17" i="19"/>
  <c r="R17" i="19"/>
  <c r="Q17" i="19"/>
  <c r="T16" i="19"/>
  <c r="R16" i="19"/>
  <c r="Q16" i="19"/>
  <c r="O189" i="19"/>
  <c r="O188" i="19"/>
  <c r="O10" i="19"/>
  <c r="O264" i="19" s="1"/>
  <c r="O4" i="19"/>
  <c r="O93" i="5"/>
  <c r="O92" i="5"/>
  <c r="O91" i="5"/>
  <c r="O90" i="5"/>
  <c r="O34" i="5"/>
  <c r="T19" i="5"/>
  <c r="R19" i="5"/>
  <c r="Q19" i="5"/>
  <c r="T18" i="5"/>
  <c r="R18" i="5"/>
  <c r="Q18" i="5"/>
  <c r="T17" i="5"/>
  <c r="R17" i="5"/>
  <c r="Q17" i="5"/>
  <c r="T16" i="5"/>
  <c r="R16" i="5"/>
  <c r="Q16" i="5"/>
  <c r="O13" i="5"/>
  <c r="O12" i="5"/>
  <c r="O11" i="5"/>
  <c r="O10" i="5"/>
  <c r="O186" i="5" s="1"/>
  <c r="O7" i="5"/>
  <c r="O25" i="5" s="1"/>
  <c r="O6" i="5"/>
  <c r="O24" i="5" s="1"/>
  <c r="O5" i="5"/>
  <c r="O23" i="5" s="1"/>
  <c r="O4" i="5"/>
  <c r="O22" i="5" s="1"/>
  <c r="O93" i="2"/>
  <c r="O92" i="2"/>
  <c r="O91" i="2"/>
  <c r="O90" i="2"/>
  <c r="O34" i="2"/>
  <c r="T19" i="2"/>
  <c r="R19" i="2"/>
  <c r="Q19" i="2"/>
  <c r="T18" i="2"/>
  <c r="R18" i="2"/>
  <c r="Q18" i="2"/>
  <c r="T17" i="2"/>
  <c r="R17" i="2"/>
  <c r="Q17" i="2"/>
  <c r="T16" i="2"/>
  <c r="R16" i="2"/>
  <c r="Q16" i="2"/>
  <c r="O13" i="2"/>
  <c r="O12" i="2"/>
  <c r="O11" i="2"/>
  <c r="O10" i="2"/>
  <c r="O7" i="2"/>
  <c r="O6" i="2"/>
  <c r="O5" i="2"/>
  <c r="O4" i="2"/>
  <c r="O153" i="1"/>
  <c r="O147" i="1"/>
  <c r="O141" i="1"/>
  <c r="T19" i="1"/>
  <c r="R19" i="1"/>
  <c r="Q19" i="1"/>
  <c r="T18" i="1"/>
  <c r="R18" i="1"/>
  <c r="Q18" i="1"/>
  <c r="T17" i="1"/>
  <c r="R17" i="1"/>
  <c r="Q17" i="1"/>
  <c r="T16" i="1"/>
  <c r="R16" i="1"/>
  <c r="Q16" i="1"/>
  <c r="T13" i="1"/>
  <c r="R13" i="1"/>
  <c r="Q13" i="1"/>
  <c r="T12" i="1"/>
  <c r="R12" i="1"/>
  <c r="Q12" i="1"/>
  <c r="T11" i="1"/>
  <c r="R11" i="1"/>
  <c r="Q11" i="1"/>
  <c r="T10" i="1"/>
  <c r="R10" i="1"/>
  <c r="Q10" i="1"/>
  <c r="T7" i="1"/>
  <c r="R7" i="1"/>
  <c r="Q7" i="1"/>
  <c r="O25" i="1"/>
  <c r="T6" i="1"/>
  <c r="R6" i="1"/>
  <c r="Q6" i="1"/>
  <c r="O24" i="1"/>
  <c r="T5" i="1"/>
  <c r="R5" i="1"/>
  <c r="Q5" i="1"/>
  <c r="O23" i="1"/>
  <c r="T4" i="1"/>
  <c r="R4" i="1"/>
  <c r="Q4" i="1"/>
  <c r="O22" i="1"/>
  <c r="M156" i="21"/>
  <c r="M155" i="21"/>
  <c r="M154" i="21"/>
  <c r="M125" i="21"/>
  <c r="M124" i="21"/>
  <c r="M123" i="21"/>
  <c r="N93" i="21"/>
  <c r="M93" i="21"/>
  <c r="L93" i="21"/>
  <c r="K93" i="21"/>
  <c r="J93" i="21"/>
  <c r="I93" i="21"/>
  <c r="H93" i="21"/>
  <c r="G93" i="21"/>
  <c r="F93" i="21"/>
  <c r="E93" i="21"/>
  <c r="D93" i="21"/>
  <c r="C93" i="21"/>
  <c r="N92" i="21"/>
  <c r="M92" i="21"/>
  <c r="L92" i="21"/>
  <c r="K92" i="21"/>
  <c r="J92" i="21"/>
  <c r="I92" i="21"/>
  <c r="H92" i="21"/>
  <c r="G92" i="21"/>
  <c r="F92" i="21"/>
  <c r="E92" i="21"/>
  <c r="D92" i="21"/>
  <c r="C92" i="21"/>
  <c r="N91" i="21"/>
  <c r="M91" i="21"/>
  <c r="L91" i="21"/>
  <c r="K91" i="21"/>
  <c r="J91" i="21"/>
  <c r="I91" i="21"/>
  <c r="H91" i="21"/>
  <c r="G91" i="21"/>
  <c r="F91" i="21"/>
  <c r="E91" i="21"/>
  <c r="D91" i="21"/>
  <c r="C91" i="21"/>
  <c r="N90" i="21"/>
  <c r="M90" i="21"/>
  <c r="L90" i="21"/>
  <c r="K90" i="21"/>
  <c r="J90" i="21"/>
  <c r="I90" i="21"/>
  <c r="H90" i="21"/>
  <c r="G90" i="21"/>
  <c r="F90" i="21"/>
  <c r="E90" i="21"/>
  <c r="D90" i="21"/>
  <c r="C90" i="21"/>
  <c r="M80" i="21"/>
  <c r="M79" i="21"/>
  <c r="M78" i="21"/>
  <c r="L80" i="21"/>
  <c r="H80" i="21"/>
  <c r="D80" i="21"/>
  <c r="N79" i="21"/>
  <c r="I155" i="21"/>
  <c r="H79" i="21"/>
  <c r="F79" i="21"/>
  <c r="E124" i="21"/>
  <c r="C124" i="21"/>
  <c r="N154" i="21"/>
  <c r="H78" i="21"/>
  <c r="F78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N7" i="21"/>
  <c r="M7" i="21"/>
  <c r="L7" i="21"/>
  <c r="L25" i="21" s="1"/>
  <c r="K7" i="21"/>
  <c r="J7" i="21"/>
  <c r="I7" i="21"/>
  <c r="H7" i="21"/>
  <c r="G7" i="21"/>
  <c r="G25" i="21" s="1"/>
  <c r="F7" i="21"/>
  <c r="E7" i="21"/>
  <c r="D7" i="21"/>
  <c r="D25" i="21" s="1"/>
  <c r="C7" i="21"/>
  <c r="N6" i="21"/>
  <c r="M6" i="21"/>
  <c r="M24" i="21" s="1"/>
  <c r="L6" i="21"/>
  <c r="L24" i="21" s="1"/>
  <c r="K6" i="21"/>
  <c r="J6" i="21"/>
  <c r="I6" i="21"/>
  <c r="I24" i="21" s="1"/>
  <c r="H6" i="21"/>
  <c r="H24" i="21" s="1"/>
  <c r="G6" i="21"/>
  <c r="F6" i="21"/>
  <c r="E6" i="21"/>
  <c r="D6" i="21"/>
  <c r="D24" i="21" s="1"/>
  <c r="C6" i="21"/>
  <c r="N5" i="21"/>
  <c r="M5" i="21"/>
  <c r="M23" i="21" s="1"/>
  <c r="L5" i="21"/>
  <c r="K5" i="21"/>
  <c r="J5" i="21"/>
  <c r="I5" i="21"/>
  <c r="I23" i="21" s="1"/>
  <c r="H5" i="21"/>
  <c r="G5" i="21"/>
  <c r="F5" i="21"/>
  <c r="E5" i="21"/>
  <c r="E23" i="21" s="1"/>
  <c r="D5" i="21"/>
  <c r="D23" i="21" s="1"/>
  <c r="C5" i="21"/>
  <c r="N4" i="21"/>
  <c r="N22" i="21" s="1"/>
  <c r="M4" i="21"/>
  <c r="M22" i="21" s="1"/>
  <c r="L4" i="21"/>
  <c r="L22" i="21" s="1"/>
  <c r="K4" i="21"/>
  <c r="J4" i="21"/>
  <c r="J22" i="21" s="1"/>
  <c r="I4" i="21"/>
  <c r="I22" i="21" s="1"/>
  <c r="H4" i="21"/>
  <c r="G4" i="21"/>
  <c r="F4" i="21"/>
  <c r="F22" i="21" s="1"/>
  <c r="E4" i="21"/>
  <c r="E22" i="21" s="1"/>
  <c r="D4" i="21"/>
  <c r="D22" i="21" s="1"/>
  <c r="C4" i="21"/>
  <c r="O264" i="18" l="1"/>
  <c r="O252" i="18"/>
  <c r="C252" i="21"/>
  <c r="C264" i="21"/>
  <c r="G252" i="21"/>
  <c r="G264" i="21"/>
  <c r="K264" i="21"/>
  <c r="K252" i="21"/>
  <c r="C253" i="21"/>
  <c r="C265" i="21"/>
  <c r="G253" i="21"/>
  <c r="G265" i="21"/>
  <c r="K253" i="21"/>
  <c r="K265" i="21"/>
  <c r="C254" i="21"/>
  <c r="C266" i="21"/>
  <c r="G266" i="21"/>
  <c r="G254" i="21"/>
  <c r="K266" i="21"/>
  <c r="K254" i="21"/>
  <c r="O265" i="5"/>
  <c r="O253" i="5"/>
  <c r="O253" i="21"/>
  <c r="O265" i="21"/>
  <c r="O253" i="15"/>
  <c r="O265" i="15"/>
  <c r="O265" i="18"/>
  <c r="O253" i="18"/>
  <c r="O264" i="17"/>
  <c r="O252" i="17"/>
  <c r="N264" i="21"/>
  <c r="N252" i="21"/>
  <c r="O264" i="15"/>
  <c r="O252" i="15"/>
  <c r="D252" i="21"/>
  <c r="D264" i="21"/>
  <c r="H252" i="21"/>
  <c r="H264" i="21"/>
  <c r="L252" i="21"/>
  <c r="L264" i="21"/>
  <c r="D253" i="21"/>
  <c r="D265" i="21"/>
  <c r="H253" i="21"/>
  <c r="H265" i="21"/>
  <c r="L265" i="21"/>
  <c r="L253" i="21"/>
  <c r="D254" i="21"/>
  <c r="D266" i="21"/>
  <c r="H254" i="21"/>
  <c r="H266" i="21"/>
  <c r="L266" i="21"/>
  <c r="L254" i="21"/>
  <c r="O266" i="5"/>
  <c r="O254" i="5"/>
  <c r="O266" i="21"/>
  <c r="O254" i="21"/>
  <c r="O266" i="15"/>
  <c r="O254" i="15"/>
  <c r="O266" i="18"/>
  <c r="O254" i="18"/>
  <c r="O253" i="17"/>
  <c r="O265" i="17"/>
  <c r="F252" i="21"/>
  <c r="F264" i="21"/>
  <c r="J252" i="21"/>
  <c r="J264" i="21"/>
  <c r="F253" i="21"/>
  <c r="F265" i="21"/>
  <c r="J253" i="21"/>
  <c r="J265" i="21"/>
  <c r="N253" i="21"/>
  <c r="N265" i="21"/>
  <c r="F254" i="21"/>
  <c r="F266" i="21"/>
  <c r="J254" i="21"/>
  <c r="J266" i="21"/>
  <c r="N254" i="21"/>
  <c r="N266" i="21"/>
  <c r="O264" i="5"/>
  <c r="O252" i="5"/>
  <c r="O264" i="21"/>
  <c r="O252" i="21"/>
  <c r="E252" i="21"/>
  <c r="E264" i="21"/>
  <c r="I264" i="21"/>
  <c r="I252" i="21"/>
  <c r="M252" i="21"/>
  <c r="M264" i="21"/>
  <c r="E253" i="21"/>
  <c r="E265" i="21"/>
  <c r="I253" i="21"/>
  <c r="I265" i="21"/>
  <c r="M253" i="21"/>
  <c r="M265" i="21"/>
  <c r="E254" i="21"/>
  <c r="E266" i="21"/>
  <c r="I266" i="21"/>
  <c r="I254" i="21"/>
  <c r="M266" i="21"/>
  <c r="M254" i="21"/>
  <c r="O266" i="17"/>
  <c r="O254" i="17"/>
  <c r="O252" i="2"/>
  <c r="O264" i="2"/>
  <c r="O265" i="2"/>
  <c r="O253" i="2"/>
  <c r="O254" i="2"/>
  <c r="O266" i="2"/>
  <c r="O186" i="19"/>
  <c r="O231" i="19" s="1"/>
  <c r="O188" i="21"/>
  <c r="O233" i="21" s="1"/>
  <c r="O189" i="21"/>
  <c r="O234" i="21" s="1"/>
  <c r="O189" i="15"/>
  <c r="O234" i="15" s="1"/>
  <c r="O189" i="18"/>
  <c r="O215" i="18" s="1"/>
  <c r="O188" i="15"/>
  <c r="O233" i="15" s="1"/>
  <c r="O188" i="18"/>
  <c r="O233" i="18" s="1"/>
  <c r="Q13" i="21"/>
  <c r="O187" i="21"/>
  <c r="O232" i="21" s="1"/>
  <c r="O187" i="15"/>
  <c r="O232" i="15" s="1"/>
  <c r="O187" i="18"/>
  <c r="O232" i="18" s="1"/>
  <c r="O141" i="2"/>
  <c r="O147" i="2"/>
  <c r="O141" i="5"/>
  <c r="O147" i="5"/>
  <c r="O148" i="2"/>
  <c r="O68" i="1"/>
  <c r="O74" i="1"/>
  <c r="O80" i="1"/>
  <c r="O142" i="1"/>
  <c r="O148" i="1"/>
  <c r="O154" i="1"/>
  <c r="O155" i="2"/>
  <c r="O143" i="1"/>
  <c r="O149" i="1"/>
  <c r="O155" i="1"/>
  <c r="O144" i="2"/>
  <c r="O209" i="2"/>
  <c r="O240" i="2" s="1"/>
  <c r="O186" i="18"/>
  <c r="O231" i="18" s="1"/>
  <c r="O186" i="2"/>
  <c r="O231" i="2" s="1"/>
  <c r="O188" i="2"/>
  <c r="O233" i="2" s="1"/>
  <c r="O187" i="2"/>
  <c r="O232" i="2" s="1"/>
  <c r="M207" i="21"/>
  <c r="M238" i="21" s="1"/>
  <c r="O189" i="2"/>
  <c r="O234" i="2" s="1"/>
  <c r="R49" i="21"/>
  <c r="R80" i="21" s="1"/>
  <c r="O79" i="21"/>
  <c r="O240" i="21"/>
  <c r="O238" i="17"/>
  <c r="O239" i="17"/>
  <c r="O154" i="2"/>
  <c r="O207" i="2"/>
  <c r="O240" i="18"/>
  <c r="O238" i="21"/>
  <c r="O239" i="18"/>
  <c r="O240" i="15"/>
  <c r="O156" i="21"/>
  <c r="O208" i="2"/>
  <c r="O208" i="21"/>
  <c r="O78" i="15"/>
  <c r="O207" i="15"/>
  <c r="O238" i="15" s="1"/>
  <c r="O238" i="18"/>
  <c r="H187" i="21"/>
  <c r="H232" i="21" s="1"/>
  <c r="O79" i="18"/>
  <c r="O240" i="17"/>
  <c r="O207" i="19"/>
  <c r="O238" i="19" s="1"/>
  <c r="O207" i="1"/>
  <c r="O238" i="1" s="1"/>
  <c r="O71" i="19"/>
  <c r="O147" i="17"/>
  <c r="R10" i="21"/>
  <c r="O71" i="15"/>
  <c r="R4" i="21"/>
  <c r="R11" i="21"/>
  <c r="O110" i="17"/>
  <c r="D73" i="21"/>
  <c r="L73" i="21"/>
  <c r="Q7" i="21"/>
  <c r="O22" i="2"/>
  <c r="O176" i="2"/>
  <c r="O24" i="2"/>
  <c r="O178" i="2"/>
  <c r="O188" i="17"/>
  <c r="O227" i="21"/>
  <c r="Q4" i="21"/>
  <c r="Q5" i="21"/>
  <c r="R5" i="21"/>
  <c r="Q6" i="21"/>
  <c r="R6" i="21"/>
  <c r="K25" i="21"/>
  <c r="R25" i="21" s="1"/>
  <c r="R7" i="21"/>
  <c r="Q10" i="21"/>
  <c r="Q11" i="21"/>
  <c r="Q12" i="21"/>
  <c r="R12" i="21"/>
  <c r="R13" i="21"/>
  <c r="O23" i="2"/>
  <c r="O177" i="2"/>
  <c r="O25" i="2"/>
  <c r="O179" i="2"/>
  <c r="O178" i="17"/>
  <c r="T4" i="21"/>
  <c r="O176" i="21"/>
  <c r="T10" i="21"/>
  <c r="O186" i="21"/>
  <c r="O237" i="21"/>
  <c r="O66" i="15"/>
  <c r="O72" i="15"/>
  <c r="O22" i="18"/>
  <c r="O176" i="18"/>
  <c r="O23" i="18"/>
  <c r="O177" i="18"/>
  <c r="O24" i="18"/>
  <c r="O178" i="18"/>
  <c r="O228" i="18"/>
  <c r="O153" i="18"/>
  <c r="O159" i="18" s="1"/>
  <c r="O206" i="18"/>
  <c r="O73" i="18"/>
  <c r="O176" i="17"/>
  <c r="O186" i="17"/>
  <c r="O237" i="17"/>
  <c r="O71" i="17"/>
  <c r="O122" i="17"/>
  <c r="O176" i="5"/>
  <c r="O231" i="5"/>
  <c r="O153" i="5"/>
  <c r="O206" i="5"/>
  <c r="O237" i="5" s="1"/>
  <c r="O22" i="19"/>
  <c r="O176" i="19"/>
  <c r="O23" i="19"/>
  <c r="O177" i="19"/>
  <c r="O24" i="19"/>
  <c r="O178" i="19"/>
  <c r="O25" i="19"/>
  <c r="O179" i="19"/>
  <c r="O232" i="19"/>
  <c r="O233" i="19"/>
  <c r="O234" i="19"/>
  <c r="O237" i="19"/>
  <c r="O66" i="19"/>
  <c r="T7" i="21"/>
  <c r="O179" i="21"/>
  <c r="O73" i="15"/>
  <c r="O179" i="17"/>
  <c r="O189" i="17"/>
  <c r="O77" i="17"/>
  <c r="O153" i="2"/>
  <c r="O206" i="2"/>
  <c r="O73" i="19"/>
  <c r="O72" i="19"/>
  <c r="T5" i="21"/>
  <c r="O177" i="21"/>
  <c r="O22" i="15"/>
  <c r="O176" i="15"/>
  <c r="O23" i="15"/>
  <c r="O177" i="15"/>
  <c r="O24" i="15"/>
  <c r="O178" i="15"/>
  <c r="O25" i="15"/>
  <c r="O179" i="15"/>
  <c r="O231" i="15"/>
  <c r="O237" i="15"/>
  <c r="O177" i="17"/>
  <c r="O187" i="17"/>
  <c r="O153" i="17"/>
  <c r="O143" i="5"/>
  <c r="O178" i="5"/>
  <c r="O227" i="5" s="1"/>
  <c r="O144" i="5"/>
  <c r="O179" i="5"/>
  <c r="O228" i="5" s="1"/>
  <c r="O142" i="5"/>
  <c r="O177" i="5"/>
  <c r="O226" i="5" s="1"/>
  <c r="O148" i="5"/>
  <c r="O187" i="5"/>
  <c r="O232" i="5" s="1"/>
  <c r="O67" i="5"/>
  <c r="O149" i="5"/>
  <c r="O188" i="5"/>
  <c r="O233" i="5" s="1"/>
  <c r="O150" i="5"/>
  <c r="O189" i="5"/>
  <c r="O234" i="5" s="1"/>
  <c r="O66" i="5"/>
  <c r="O155" i="5"/>
  <c r="O208" i="5"/>
  <c r="O79" i="5"/>
  <c r="O156" i="5"/>
  <c r="O209" i="5"/>
  <c r="O154" i="5"/>
  <c r="O207" i="5"/>
  <c r="O209" i="1"/>
  <c r="O240" i="1" s="1"/>
  <c r="O78" i="2"/>
  <c r="O74" i="5"/>
  <c r="O80" i="5"/>
  <c r="Q35" i="21"/>
  <c r="R35" i="21"/>
  <c r="Q36" i="21"/>
  <c r="R36" i="21"/>
  <c r="Q37" i="21"/>
  <c r="Q68" i="21" s="1"/>
  <c r="R37" i="21"/>
  <c r="Q41" i="21"/>
  <c r="R41" i="21"/>
  <c r="Q42" i="21"/>
  <c r="R42" i="21"/>
  <c r="Q43" i="21"/>
  <c r="Q74" i="21" s="1"/>
  <c r="R43" i="21"/>
  <c r="Q47" i="21"/>
  <c r="Q78" i="21" s="1"/>
  <c r="R47" i="21"/>
  <c r="R78" i="21" s="1"/>
  <c r="N209" i="21"/>
  <c r="N240" i="21" s="1"/>
  <c r="O189" i="1"/>
  <c r="O234" i="1" s="1"/>
  <c r="O68" i="2"/>
  <c r="O72" i="5"/>
  <c r="O67" i="1"/>
  <c r="O73" i="1"/>
  <c r="O79" i="1"/>
  <c r="O206" i="1"/>
  <c r="O143" i="2"/>
  <c r="O67" i="2"/>
  <c r="O149" i="2"/>
  <c r="O73" i="2"/>
  <c r="O79" i="2"/>
  <c r="O187" i="1"/>
  <c r="O232" i="1" s="1"/>
  <c r="I53" i="21"/>
  <c r="Q49" i="21"/>
  <c r="Q80" i="21" s="1"/>
  <c r="I208" i="21"/>
  <c r="I239" i="21" s="1"/>
  <c r="M208" i="21"/>
  <c r="M239" i="21" s="1"/>
  <c r="O208" i="1"/>
  <c r="O239" i="1" s="1"/>
  <c r="O142" i="2"/>
  <c r="O66" i="2"/>
  <c r="O150" i="2"/>
  <c r="O74" i="2"/>
  <c r="O156" i="2"/>
  <c r="O80" i="2"/>
  <c r="O72" i="2"/>
  <c r="G124" i="21"/>
  <c r="Q48" i="21"/>
  <c r="Q79" i="21" s="1"/>
  <c r="K124" i="21"/>
  <c r="R48" i="21"/>
  <c r="R79" i="21" s="1"/>
  <c r="O66" i="1"/>
  <c r="O72" i="1"/>
  <c r="O78" i="1"/>
  <c r="O186" i="1"/>
  <c r="O231" i="1" s="1"/>
  <c r="O188" i="1"/>
  <c r="O233" i="1" s="1"/>
  <c r="T36" i="21"/>
  <c r="T48" i="21"/>
  <c r="T42" i="21"/>
  <c r="O112" i="21"/>
  <c r="O118" i="21"/>
  <c r="O149" i="21"/>
  <c r="O155" i="21"/>
  <c r="O143" i="21"/>
  <c r="O148" i="18"/>
  <c r="O72" i="18"/>
  <c r="O154" i="18"/>
  <c r="O78" i="18"/>
  <c r="O156" i="18"/>
  <c r="O162" i="18" s="1"/>
  <c r="O80" i="18"/>
  <c r="O66" i="18"/>
  <c r="O68" i="5"/>
  <c r="O73" i="5"/>
  <c r="O78" i="5"/>
  <c r="T37" i="21"/>
  <c r="T43" i="21"/>
  <c r="T49" i="21"/>
  <c r="O68" i="21"/>
  <c r="O113" i="21"/>
  <c r="O125" i="21"/>
  <c r="O150" i="21"/>
  <c r="O68" i="18"/>
  <c r="O74" i="18"/>
  <c r="O143" i="18"/>
  <c r="O67" i="18"/>
  <c r="O155" i="18"/>
  <c r="O67" i="17"/>
  <c r="O112" i="17"/>
  <c r="O124" i="17"/>
  <c r="O149" i="17"/>
  <c r="O118" i="17"/>
  <c r="O143" i="17"/>
  <c r="O155" i="17"/>
  <c r="O80" i="17"/>
  <c r="O22" i="17"/>
  <c r="O23" i="17"/>
  <c r="O24" i="17"/>
  <c r="O25" i="17"/>
  <c r="O66" i="17"/>
  <c r="O72" i="17"/>
  <c r="O78" i="17"/>
  <c r="O53" i="17"/>
  <c r="O68" i="17"/>
  <c r="O52" i="17"/>
  <c r="O65" i="17"/>
  <c r="O79" i="17"/>
  <c r="O111" i="17"/>
  <c r="O117" i="17"/>
  <c r="O123" i="17"/>
  <c r="O142" i="17"/>
  <c r="O148" i="17"/>
  <c r="O154" i="17"/>
  <c r="O74" i="17"/>
  <c r="O55" i="17"/>
  <c r="O54" i="17"/>
  <c r="O73" i="17"/>
  <c r="O113" i="17"/>
  <c r="O119" i="17"/>
  <c r="O125" i="17"/>
  <c r="O144" i="17"/>
  <c r="O150" i="17"/>
  <c r="O156" i="17"/>
  <c r="O25" i="18"/>
  <c r="O52" i="18"/>
  <c r="O53" i="18"/>
  <c r="O54" i="18"/>
  <c r="O55" i="18"/>
  <c r="O65" i="18"/>
  <c r="O71" i="18"/>
  <c r="O77" i="18"/>
  <c r="O110" i="18"/>
  <c r="O111" i="18"/>
  <c r="O112" i="18"/>
  <c r="O113" i="18"/>
  <c r="O116" i="18"/>
  <c r="O117" i="18"/>
  <c r="O118" i="18"/>
  <c r="O119" i="18"/>
  <c r="O122" i="18"/>
  <c r="O123" i="18"/>
  <c r="O124" i="18"/>
  <c r="O125" i="18"/>
  <c r="O141" i="15"/>
  <c r="O110" i="15"/>
  <c r="O142" i="15"/>
  <c r="O111" i="15"/>
  <c r="O143" i="15"/>
  <c r="O112" i="15"/>
  <c r="O68" i="15"/>
  <c r="O144" i="15"/>
  <c r="O113" i="15"/>
  <c r="O147" i="15"/>
  <c r="O116" i="15"/>
  <c r="O148" i="15"/>
  <c r="O117" i="15"/>
  <c r="O149" i="15"/>
  <c r="O118" i="15"/>
  <c r="O74" i="15"/>
  <c r="O150" i="15"/>
  <c r="O119" i="15"/>
  <c r="O153" i="15"/>
  <c r="O122" i="15"/>
  <c r="O77" i="15"/>
  <c r="O154" i="15"/>
  <c r="O123" i="15"/>
  <c r="O155" i="15"/>
  <c r="O124" i="15"/>
  <c r="O80" i="15"/>
  <c r="O156" i="15"/>
  <c r="O125" i="15"/>
  <c r="O52" i="15"/>
  <c r="O53" i="15"/>
  <c r="O54" i="15"/>
  <c r="O55" i="15"/>
  <c r="O65" i="15"/>
  <c r="O67" i="15"/>
  <c r="O79" i="15"/>
  <c r="T11" i="21"/>
  <c r="O23" i="21"/>
  <c r="O66" i="21"/>
  <c r="T35" i="21"/>
  <c r="O142" i="21"/>
  <c r="O111" i="21"/>
  <c r="O72" i="21"/>
  <c r="T41" i="21"/>
  <c r="O148" i="21"/>
  <c r="O117" i="21"/>
  <c r="O53" i="21"/>
  <c r="T13" i="21"/>
  <c r="O25" i="21"/>
  <c r="O141" i="21"/>
  <c r="O110" i="21"/>
  <c r="O147" i="21"/>
  <c r="O116" i="21"/>
  <c r="O71" i="21"/>
  <c r="O153" i="21"/>
  <c r="O122" i="21"/>
  <c r="O77" i="21"/>
  <c r="O52" i="21"/>
  <c r="O65" i="21"/>
  <c r="O74" i="21"/>
  <c r="O22" i="21"/>
  <c r="O78" i="21"/>
  <c r="T47" i="21"/>
  <c r="O154" i="21"/>
  <c r="O123" i="21"/>
  <c r="T6" i="21"/>
  <c r="O67" i="21"/>
  <c r="T12" i="21"/>
  <c r="O24" i="21"/>
  <c r="O55" i="21"/>
  <c r="O80" i="21"/>
  <c r="O54" i="21"/>
  <c r="O73" i="21"/>
  <c r="O141" i="19"/>
  <c r="O110" i="19"/>
  <c r="O142" i="19"/>
  <c r="O111" i="19"/>
  <c r="O143" i="19"/>
  <c r="O112" i="19"/>
  <c r="O68" i="19"/>
  <c r="O144" i="19"/>
  <c r="O113" i="19"/>
  <c r="O147" i="19"/>
  <c r="O116" i="19"/>
  <c r="O148" i="19"/>
  <c r="O117" i="19"/>
  <c r="O149" i="19"/>
  <c r="O118" i="19"/>
  <c r="O74" i="19"/>
  <c r="O150" i="19"/>
  <c r="O119" i="19"/>
  <c r="O153" i="19"/>
  <c r="O122" i="19"/>
  <c r="O77" i="19"/>
  <c r="O154" i="19"/>
  <c r="O123" i="19"/>
  <c r="O155" i="19"/>
  <c r="O124" i="19"/>
  <c r="O80" i="19"/>
  <c r="O156" i="19"/>
  <c r="O125" i="19"/>
  <c r="O52" i="19"/>
  <c r="O53" i="19"/>
  <c r="O54" i="19"/>
  <c r="O55" i="19"/>
  <c r="O65" i="19"/>
  <c r="O67" i="19"/>
  <c r="O79" i="19"/>
  <c r="O52" i="5"/>
  <c r="O53" i="5"/>
  <c r="O54" i="5"/>
  <c r="O55" i="5"/>
  <c r="O65" i="5"/>
  <c r="O71" i="5"/>
  <c r="O77" i="5"/>
  <c r="O110" i="5"/>
  <c r="O111" i="5"/>
  <c r="O112" i="5"/>
  <c r="O113" i="5"/>
  <c r="O116" i="5"/>
  <c r="O117" i="5"/>
  <c r="O118" i="5"/>
  <c r="O119" i="5"/>
  <c r="O122" i="5"/>
  <c r="O123" i="5"/>
  <c r="O124" i="5"/>
  <c r="O125" i="5"/>
  <c r="O52" i="2"/>
  <c r="O53" i="2"/>
  <c r="O54" i="2"/>
  <c r="O55" i="2"/>
  <c r="O65" i="2"/>
  <c r="O71" i="2"/>
  <c r="O77" i="2"/>
  <c r="O110" i="2"/>
  <c r="O111" i="2"/>
  <c r="O112" i="2"/>
  <c r="O113" i="2"/>
  <c r="O116" i="2"/>
  <c r="O117" i="2"/>
  <c r="O118" i="2"/>
  <c r="O119" i="2"/>
  <c r="O122" i="2"/>
  <c r="O123" i="2"/>
  <c r="O124" i="2"/>
  <c r="O125" i="2"/>
  <c r="O159" i="1"/>
  <c r="O179" i="1"/>
  <c r="O176" i="1"/>
  <c r="O225" i="1" s="1"/>
  <c r="O178" i="1"/>
  <c r="O177" i="1"/>
  <c r="O52" i="1"/>
  <c r="O53" i="1"/>
  <c r="O54" i="1"/>
  <c r="O55" i="1"/>
  <c r="O65" i="1"/>
  <c r="O71" i="1"/>
  <c r="O77" i="1"/>
  <c r="O111" i="1"/>
  <c r="O112" i="1"/>
  <c r="O113" i="1"/>
  <c r="O116" i="1"/>
  <c r="O117" i="1"/>
  <c r="O118" i="1"/>
  <c r="O119" i="1"/>
  <c r="O122" i="1"/>
  <c r="O123" i="1"/>
  <c r="O124" i="1"/>
  <c r="O125" i="1"/>
  <c r="O144" i="1"/>
  <c r="O150" i="1"/>
  <c r="O156" i="1"/>
  <c r="J24" i="21"/>
  <c r="H22" i="21"/>
  <c r="F67" i="21"/>
  <c r="J67" i="21"/>
  <c r="N67" i="21"/>
  <c r="E74" i="21"/>
  <c r="M74" i="21"/>
  <c r="M55" i="21"/>
  <c r="N80" i="21"/>
  <c r="I25" i="21"/>
  <c r="J73" i="21"/>
  <c r="N177" i="21"/>
  <c r="N226" i="21" s="1"/>
  <c r="N178" i="21"/>
  <c r="N227" i="21" s="1"/>
  <c r="C23" i="21"/>
  <c r="A23" i="21" s="1"/>
  <c r="K23" i="21"/>
  <c r="C24" i="21"/>
  <c r="G24" i="21"/>
  <c r="E53" i="21"/>
  <c r="M53" i="21"/>
  <c r="I54" i="21"/>
  <c r="E68" i="21"/>
  <c r="I68" i="21"/>
  <c r="M68" i="21"/>
  <c r="H73" i="21"/>
  <c r="E55" i="21"/>
  <c r="E209" i="21"/>
  <c r="E240" i="21" s="1"/>
  <c r="I209" i="21"/>
  <c r="I240" i="21" s="1"/>
  <c r="M209" i="21"/>
  <c r="M240" i="21" s="1"/>
  <c r="I74" i="21"/>
  <c r="E25" i="21"/>
  <c r="M25" i="21"/>
  <c r="F73" i="21"/>
  <c r="N73" i="21"/>
  <c r="F177" i="21"/>
  <c r="F226" i="21" s="1"/>
  <c r="F178" i="21"/>
  <c r="F227" i="21" s="1"/>
  <c r="J178" i="21"/>
  <c r="J227" i="21" s="1"/>
  <c r="F24" i="21"/>
  <c r="N24" i="21"/>
  <c r="D67" i="21"/>
  <c r="H67" i="21"/>
  <c r="L67" i="21"/>
  <c r="D68" i="21"/>
  <c r="L68" i="21"/>
  <c r="I124" i="21"/>
  <c r="C155" i="21"/>
  <c r="K155" i="21"/>
  <c r="F188" i="21"/>
  <c r="F233" i="21" s="1"/>
  <c r="J188" i="21"/>
  <c r="J233" i="21" s="1"/>
  <c r="N188" i="21"/>
  <c r="N233" i="21" s="1"/>
  <c r="F189" i="21"/>
  <c r="F234" i="21" s="1"/>
  <c r="J189" i="21"/>
  <c r="J234" i="21" s="1"/>
  <c r="N189" i="21"/>
  <c r="N234" i="21" s="1"/>
  <c r="C53" i="21"/>
  <c r="G53" i="21"/>
  <c r="K53" i="21"/>
  <c r="K54" i="21"/>
  <c r="C55" i="21"/>
  <c r="G55" i="21"/>
  <c r="K55" i="21"/>
  <c r="N78" i="21"/>
  <c r="I55" i="21"/>
  <c r="H66" i="21"/>
  <c r="L177" i="21"/>
  <c r="L226" i="21" s="1"/>
  <c r="D179" i="21"/>
  <c r="D228" i="21" s="1"/>
  <c r="L179" i="21"/>
  <c r="L228" i="21" s="1"/>
  <c r="D150" i="21"/>
  <c r="D119" i="21"/>
  <c r="H150" i="21"/>
  <c r="H119" i="21"/>
  <c r="H74" i="21"/>
  <c r="L150" i="21"/>
  <c r="L119" i="21"/>
  <c r="H72" i="21"/>
  <c r="L74" i="21"/>
  <c r="H179" i="21"/>
  <c r="H25" i="21"/>
  <c r="F23" i="21"/>
  <c r="N25" i="21"/>
  <c r="Q25" i="21" s="1"/>
  <c r="F148" i="21"/>
  <c r="F117" i="21"/>
  <c r="J148" i="21"/>
  <c r="J117" i="21"/>
  <c r="J72" i="21"/>
  <c r="N148" i="21"/>
  <c r="N117" i="21"/>
  <c r="E118" i="21"/>
  <c r="E73" i="21"/>
  <c r="E149" i="21"/>
  <c r="I73" i="21"/>
  <c r="I149" i="21"/>
  <c r="I118" i="21"/>
  <c r="M118" i="21"/>
  <c r="M73" i="21"/>
  <c r="M149" i="21"/>
  <c r="F209" i="21"/>
  <c r="F240" i="21" s="1"/>
  <c r="F156" i="21"/>
  <c r="F125" i="21"/>
  <c r="J156" i="21"/>
  <c r="J209" i="21"/>
  <c r="J240" i="21" s="1"/>
  <c r="J125" i="21"/>
  <c r="J80" i="21"/>
  <c r="M54" i="21"/>
  <c r="N66" i="21"/>
  <c r="N72" i="21"/>
  <c r="I178" i="21"/>
  <c r="J177" i="21"/>
  <c r="J23" i="21"/>
  <c r="E24" i="21"/>
  <c r="E178" i="21"/>
  <c r="D187" i="21"/>
  <c r="D232" i="21" s="1"/>
  <c r="L187" i="21"/>
  <c r="L232" i="21" s="1"/>
  <c r="D177" i="21"/>
  <c r="H177" i="21"/>
  <c r="H23" i="21"/>
  <c r="K24" i="21"/>
  <c r="R24" i="21" s="1"/>
  <c r="L23" i="21"/>
  <c r="C143" i="21"/>
  <c r="C67" i="21"/>
  <c r="C112" i="21"/>
  <c r="G143" i="21"/>
  <c r="G112" i="21"/>
  <c r="G67" i="21"/>
  <c r="G54" i="21"/>
  <c r="K143" i="21"/>
  <c r="K67" i="21"/>
  <c r="K112" i="21"/>
  <c r="D154" i="21"/>
  <c r="D207" i="21"/>
  <c r="D238" i="21" s="1"/>
  <c r="D123" i="21"/>
  <c r="D78" i="21"/>
  <c r="H207" i="21"/>
  <c r="H238" i="21" s="1"/>
  <c r="H123" i="21"/>
  <c r="H154" i="21"/>
  <c r="L207" i="21"/>
  <c r="L238" i="21" s="1"/>
  <c r="L154" i="21"/>
  <c r="L123" i="21"/>
  <c r="L78" i="21"/>
  <c r="D155" i="21"/>
  <c r="D124" i="21"/>
  <c r="D79" i="21"/>
  <c r="H155" i="21"/>
  <c r="H124" i="21"/>
  <c r="L155" i="21"/>
  <c r="L124" i="21"/>
  <c r="L79" i="21"/>
  <c r="C54" i="21"/>
  <c r="D74" i="21"/>
  <c r="C22" i="21"/>
  <c r="G22" i="21"/>
  <c r="Q22" i="21" s="1"/>
  <c r="K22" i="21"/>
  <c r="R22" i="21" s="1"/>
  <c r="N23" i="21"/>
  <c r="F25" i="21"/>
  <c r="D142" i="21"/>
  <c r="D111" i="21"/>
  <c r="D53" i="21"/>
  <c r="D66" i="21"/>
  <c r="H111" i="21"/>
  <c r="H142" i="21"/>
  <c r="H53" i="21"/>
  <c r="L142" i="21"/>
  <c r="L111" i="21"/>
  <c r="L53" i="21"/>
  <c r="L66" i="21"/>
  <c r="F55" i="21"/>
  <c r="F144" i="21"/>
  <c r="F113" i="21"/>
  <c r="F68" i="21"/>
  <c r="J113" i="21"/>
  <c r="J55" i="21"/>
  <c r="J144" i="21"/>
  <c r="N144" i="21"/>
  <c r="N55" i="21"/>
  <c r="N113" i="21"/>
  <c r="N68" i="21"/>
  <c r="D72" i="21"/>
  <c r="L72" i="21"/>
  <c r="E54" i="21"/>
  <c r="F66" i="21"/>
  <c r="J68" i="21"/>
  <c r="F72" i="21"/>
  <c r="J74" i="21"/>
  <c r="F80" i="21"/>
  <c r="F179" i="21"/>
  <c r="J179" i="21"/>
  <c r="N179" i="21"/>
  <c r="J25" i="21"/>
  <c r="D144" i="21"/>
  <c r="D55" i="21"/>
  <c r="D113" i="21"/>
  <c r="H144" i="21"/>
  <c r="H113" i="21"/>
  <c r="H55" i="21"/>
  <c r="L144" i="21"/>
  <c r="L55" i="21"/>
  <c r="L113" i="21"/>
  <c r="F119" i="21"/>
  <c r="F150" i="21"/>
  <c r="J150" i="21"/>
  <c r="J119" i="21"/>
  <c r="N119" i="21"/>
  <c r="N150" i="21"/>
  <c r="F208" i="21"/>
  <c r="F239" i="21" s="1"/>
  <c r="F155" i="21"/>
  <c r="F124" i="21"/>
  <c r="J155" i="21"/>
  <c r="J208" i="21"/>
  <c r="J239" i="21" s="1"/>
  <c r="J124" i="21"/>
  <c r="H68" i="21"/>
  <c r="F187" i="21"/>
  <c r="F232" i="21" s="1"/>
  <c r="J187" i="21"/>
  <c r="J232" i="21" s="1"/>
  <c r="N187" i="21"/>
  <c r="N232" i="21" s="1"/>
  <c r="I188" i="21"/>
  <c r="I233" i="21" s="1"/>
  <c r="F142" i="21"/>
  <c r="F53" i="21"/>
  <c r="F111" i="21"/>
  <c r="J142" i="21"/>
  <c r="J53" i="21"/>
  <c r="J111" i="21"/>
  <c r="N142" i="21"/>
  <c r="N53" i="21"/>
  <c r="N111" i="21"/>
  <c r="E67" i="21"/>
  <c r="E143" i="21"/>
  <c r="E112" i="21"/>
  <c r="I112" i="21"/>
  <c r="I67" i="21"/>
  <c r="I143" i="21"/>
  <c r="M143" i="21"/>
  <c r="M67" i="21"/>
  <c r="M112" i="21"/>
  <c r="D117" i="21"/>
  <c r="D148" i="21"/>
  <c r="H148" i="21"/>
  <c r="H117" i="21"/>
  <c r="L117" i="21"/>
  <c r="L148" i="21"/>
  <c r="C149" i="21"/>
  <c r="C118" i="21"/>
  <c r="C73" i="21"/>
  <c r="G149" i="21"/>
  <c r="G73" i="21"/>
  <c r="G118" i="21"/>
  <c r="K149" i="21"/>
  <c r="K118" i="21"/>
  <c r="K73" i="21"/>
  <c r="F154" i="21"/>
  <c r="F123" i="21"/>
  <c r="J154" i="21"/>
  <c r="J123" i="21"/>
  <c r="D156" i="21"/>
  <c r="D125" i="21"/>
  <c r="H125" i="21"/>
  <c r="H156" i="21"/>
  <c r="L156" i="21"/>
  <c r="L125" i="21"/>
  <c r="J66" i="21"/>
  <c r="F74" i="21"/>
  <c r="N74" i="21"/>
  <c r="J78" i="21"/>
  <c r="J79" i="21"/>
  <c r="C179" i="21"/>
  <c r="C177" i="21"/>
  <c r="C178" i="21"/>
  <c r="G179" i="21"/>
  <c r="G177" i="21"/>
  <c r="G178" i="21"/>
  <c r="K179" i="21"/>
  <c r="K177" i="21"/>
  <c r="K178" i="21"/>
  <c r="C207" i="21"/>
  <c r="G207" i="21"/>
  <c r="K207" i="21"/>
  <c r="C208" i="21"/>
  <c r="G208" i="21"/>
  <c r="K208" i="21"/>
  <c r="C209" i="21"/>
  <c r="G209" i="21"/>
  <c r="K209" i="21"/>
  <c r="G23" i="21"/>
  <c r="C25" i="21"/>
  <c r="E142" i="21"/>
  <c r="E111" i="21"/>
  <c r="I142" i="21"/>
  <c r="I111" i="21"/>
  <c r="M142" i="21"/>
  <c r="M111" i="21"/>
  <c r="F143" i="21"/>
  <c r="F112" i="21"/>
  <c r="J143" i="21"/>
  <c r="J112" i="21"/>
  <c r="N143" i="21"/>
  <c r="N112" i="21"/>
  <c r="C144" i="21"/>
  <c r="C113" i="21"/>
  <c r="G144" i="21"/>
  <c r="G113" i="21"/>
  <c r="K144" i="21"/>
  <c r="K113" i="21"/>
  <c r="E148" i="21"/>
  <c r="E117" i="21"/>
  <c r="I148" i="21"/>
  <c r="I117" i="21"/>
  <c r="M148" i="21"/>
  <c r="M117" i="21"/>
  <c r="F149" i="21"/>
  <c r="F118" i="21"/>
  <c r="J149" i="21"/>
  <c r="J118" i="21"/>
  <c r="N149" i="21"/>
  <c r="N118" i="21"/>
  <c r="C150" i="21"/>
  <c r="C119" i="21"/>
  <c r="G150" i="21"/>
  <c r="G119" i="21"/>
  <c r="K150" i="21"/>
  <c r="K119" i="21"/>
  <c r="E207" i="21"/>
  <c r="E238" i="21" s="1"/>
  <c r="E154" i="21"/>
  <c r="E123" i="21"/>
  <c r="I154" i="21"/>
  <c r="I207" i="21"/>
  <c r="I238" i="21" s="1"/>
  <c r="I123" i="21"/>
  <c r="E156" i="21"/>
  <c r="E125" i="21"/>
  <c r="I156" i="21"/>
  <c r="I125" i="21"/>
  <c r="F54" i="21"/>
  <c r="J54" i="21"/>
  <c r="N54" i="21"/>
  <c r="E66" i="21"/>
  <c r="I66" i="21"/>
  <c r="M66" i="21"/>
  <c r="E72" i="21"/>
  <c r="I72" i="21"/>
  <c r="M72" i="21"/>
  <c r="E78" i="21"/>
  <c r="I78" i="21"/>
  <c r="C79" i="21"/>
  <c r="G79" i="21"/>
  <c r="K79" i="21"/>
  <c r="E80" i="21"/>
  <c r="I80" i="21"/>
  <c r="G155" i="21"/>
  <c r="N156" i="21"/>
  <c r="E189" i="21"/>
  <c r="E234" i="21" s="1"/>
  <c r="E187" i="21"/>
  <c r="E232" i="21" s="1"/>
  <c r="I189" i="21"/>
  <c r="I234" i="21" s="1"/>
  <c r="I187" i="21"/>
  <c r="I232" i="21" s="1"/>
  <c r="M189" i="21"/>
  <c r="M234" i="21" s="1"/>
  <c r="M187" i="21"/>
  <c r="M232" i="21" s="1"/>
  <c r="M188" i="21"/>
  <c r="M233" i="21" s="1"/>
  <c r="E177" i="21"/>
  <c r="E179" i="21"/>
  <c r="I177" i="21"/>
  <c r="I179" i="21"/>
  <c r="M177" i="21"/>
  <c r="M179" i="21"/>
  <c r="M178" i="21"/>
  <c r="C142" i="21"/>
  <c r="C111" i="21"/>
  <c r="G142" i="21"/>
  <c r="G111" i="21"/>
  <c r="K142" i="21"/>
  <c r="K111" i="21"/>
  <c r="D143" i="21"/>
  <c r="D112" i="21"/>
  <c r="H143" i="21"/>
  <c r="H112" i="21"/>
  <c r="L143" i="21"/>
  <c r="L112" i="21"/>
  <c r="E144" i="21"/>
  <c r="E113" i="21"/>
  <c r="I144" i="21"/>
  <c r="I113" i="21"/>
  <c r="M144" i="21"/>
  <c r="M113" i="21"/>
  <c r="C148" i="21"/>
  <c r="C117" i="21"/>
  <c r="G148" i="21"/>
  <c r="G117" i="21"/>
  <c r="K148" i="21"/>
  <c r="K117" i="21"/>
  <c r="D149" i="21"/>
  <c r="D118" i="21"/>
  <c r="H149" i="21"/>
  <c r="H118" i="21"/>
  <c r="L149" i="21"/>
  <c r="L118" i="21"/>
  <c r="E150" i="21"/>
  <c r="E119" i="21"/>
  <c r="I150" i="21"/>
  <c r="I119" i="21"/>
  <c r="M150" i="21"/>
  <c r="M119" i="21"/>
  <c r="C154" i="21"/>
  <c r="C123" i="21"/>
  <c r="G154" i="21"/>
  <c r="Q154" i="21" s="1"/>
  <c r="G123" i="21"/>
  <c r="K154" i="21"/>
  <c r="K123" i="21"/>
  <c r="E208" i="21"/>
  <c r="E239" i="21" s="1"/>
  <c r="E155" i="21"/>
  <c r="N208" i="21"/>
  <c r="N239" i="21" s="1"/>
  <c r="N155" i="21"/>
  <c r="N124" i="21"/>
  <c r="C156" i="21"/>
  <c r="C125" i="21"/>
  <c r="G156" i="21"/>
  <c r="Q156" i="21" s="1"/>
  <c r="G125" i="21"/>
  <c r="K156" i="21"/>
  <c r="R156" i="21" s="1"/>
  <c r="K125" i="21"/>
  <c r="D54" i="21"/>
  <c r="H54" i="21"/>
  <c r="L54" i="21"/>
  <c r="C66" i="21"/>
  <c r="G66" i="21"/>
  <c r="K66" i="21"/>
  <c r="C68" i="21"/>
  <c r="G68" i="21"/>
  <c r="K68" i="21"/>
  <c r="C72" i="21"/>
  <c r="G72" i="21"/>
  <c r="K72" i="21"/>
  <c r="C74" i="21"/>
  <c r="G74" i="21"/>
  <c r="K74" i="21"/>
  <c r="C78" i="21"/>
  <c r="G78" i="21"/>
  <c r="K78" i="21"/>
  <c r="E79" i="21"/>
  <c r="I79" i="21"/>
  <c r="C80" i="21"/>
  <c r="G80" i="21"/>
  <c r="K80" i="21"/>
  <c r="N123" i="21"/>
  <c r="N125" i="21"/>
  <c r="G189" i="21"/>
  <c r="G187" i="21"/>
  <c r="G188" i="21"/>
  <c r="K189" i="21"/>
  <c r="K187" i="21"/>
  <c r="K188" i="21"/>
  <c r="E188" i="21"/>
  <c r="E233" i="21" s="1"/>
  <c r="D188" i="21"/>
  <c r="D233" i="21" s="1"/>
  <c r="H188" i="21"/>
  <c r="H233" i="21" s="1"/>
  <c r="L188" i="21"/>
  <c r="L233" i="21" s="1"/>
  <c r="D178" i="21"/>
  <c r="H178" i="21"/>
  <c r="L178" i="21"/>
  <c r="F207" i="21"/>
  <c r="F238" i="21" s="1"/>
  <c r="J207" i="21"/>
  <c r="J238" i="21" s="1"/>
  <c r="N207" i="21"/>
  <c r="N238" i="21" s="1"/>
  <c r="D189" i="21"/>
  <c r="D234" i="21" s="1"/>
  <c r="H189" i="21"/>
  <c r="H234" i="21" s="1"/>
  <c r="L189" i="21"/>
  <c r="L234" i="21" s="1"/>
  <c r="D208" i="21"/>
  <c r="D239" i="21" s="1"/>
  <c r="H208" i="21"/>
  <c r="H239" i="21" s="1"/>
  <c r="L208" i="21"/>
  <c r="L239" i="21" s="1"/>
  <c r="D209" i="21"/>
  <c r="D240" i="21" s="1"/>
  <c r="H209" i="21"/>
  <c r="H240" i="21" s="1"/>
  <c r="L209" i="21"/>
  <c r="L240" i="21" s="1"/>
  <c r="O234" i="18" l="1"/>
  <c r="R113" i="21"/>
  <c r="Q66" i="21"/>
  <c r="Q266" i="21"/>
  <c r="R253" i="21"/>
  <c r="Q252" i="21"/>
  <c r="R254" i="21"/>
  <c r="T266" i="21"/>
  <c r="Q265" i="21"/>
  <c r="R252" i="21"/>
  <c r="T264" i="21"/>
  <c r="T253" i="21"/>
  <c r="R266" i="21"/>
  <c r="T254" i="21"/>
  <c r="Q253" i="21"/>
  <c r="R264" i="21"/>
  <c r="T252" i="21"/>
  <c r="Q254" i="21"/>
  <c r="R265" i="21"/>
  <c r="T265" i="21"/>
  <c r="Q264" i="21"/>
  <c r="O270" i="1"/>
  <c r="O258" i="1"/>
  <c r="O269" i="1"/>
  <c r="O257" i="1"/>
  <c r="O272" i="5"/>
  <c r="O260" i="5"/>
  <c r="O259" i="15"/>
  <c r="O271" i="15"/>
  <c r="O270" i="18"/>
  <c r="O258" i="18"/>
  <c r="O271" i="17"/>
  <c r="O259" i="17"/>
  <c r="O269" i="5"/>
  <c r="O257" i="5"/>
  <c r="O260" i="15"/>
  <c r="O272" i="15"/>
  <c r="O259" i="18"/>
  <c r="O271" i="18"/>
  <c r="O269" i="17"/>
  <c r="O257" i="17"/>
  <c r="O260" i="1"/>
  <c r="O272" i="1"/>
  <c r="O259" i="5"/>
  <c r="O271" i="5"/>
  <c r="O258" i="15"/>
  <c r="O270" i="15"/>
  <c r="O269" i="18"/>
  <c r="O257" i="18"/>
  <c r="O272" i="17"/>
  <c r="O260" i="17"/>
  <c r="O270" i="17"/>
  <c r="O258" i="17"/>
  <c r="O259" i="1"/>
  <c r="O271" i="1"/>
  <c r="O270" i="5"/>
  <c r="O258" i="5"/>
  <c r="O269" i="19"/>
  <c r="O257" i="19"/>
  <c r="O257" i="21"/>
  <c r="O269" i="21"/>
  <c r="O269" i="15"/>
  <c r="O257" i="15"/>
  <c r="O272" i="18"/>
  <c r="O260" i="18"/>
  <c r="O259" i="19"/>
  <c r="O271" i="19"/>
  <c r="O258" i="19"/>
  <c r="O270" i="19"/>
  <c r="O272" i="19"/>
  <c r="O260" i="19"/>
  <c r="O214" i="21"/>
  <c r="O245" i="21" s="1"/>
  <c r="F271" i="21"/>
  <c r="F259" i="21"/>
  <c r="H272" i="21"/>
  <c r="H260" i="21"/>
  <c r="D272" i="21"/>
  <c r="D260" i="21"/>
  <c r="E259" i="21"/>
  <c r="E271" i="21"/>
  <c r="J260" i="21"/>
  <c r="J272" i="21"/>
  <c r="K260" i="21"/>
  <c r="K272" i="21"/>
  <c r="K270" i="21"/>
  <c r="K258" i="21"/>
  <c r="I271" i="21"/>
  <c r="I259" i="21"/>
  <c r="M272" i="21"/>
  <c r="M260" i="21"/>
  <c r="O271" i="21"/>
  <c r="O259" i="21"/>
  <c r="L259" i="21"/>
  <c r="L271" i="21"/>
  <c r="F270" i="21"/>
  <c r="F258" i="21"/>
  <c r="N260" i="21"/>
  <c r="N272" i="21"/>
  <c r="F272" i="21"/>
  <c r="F260" i="21"/>
  <c r="M259" i="21"/>
  <c r="M271" i="21"/>
  <c r="G260" i="21"/>
  <c r="G272" i="21"/>
  <c r="G270" i="21"/>
  <c r="G258" i="21"/>
  <c r="M270" i="21"/>
  <c r="M258" i="21"/>
  <c r="O270" i="21"/>
  <c r="O258" i="21"/>
  <c r="H271" i="21"/>
  <c r="H259" i="21"/>
  <c r="N271" i="21"/>
  <c r="N259" i="21"/>
  <c r="J258" i="21"/>
  <c r="J270" i="21"/>
  <c r="L260" i="21"/>
  <c r="L272" i="21"/>
  <c r="H270" i="21"/>
  <c r="H258" i="21"/>
  <c r="D258" i="21"/>
  <c r="D270" i="21"/>
  <c r="G271" i="21"/>
  <c r="G259" i="21"/>
  <c r="I272" i="21"/>
  <c r="I260" i="21"/>
  <c r="C260" i="21"/>
  <c r="C272" i="21"/>
  <c r="C258" i="21"/>
  <c r="C270" i="21"/>
  <c r="E270" i="21"/>
  <c r="E258" i="21"/>
  <c r="O260" i="21"/>
  <c r="O272" i="21"/>
  <c r="D259" i="21"/>
  <c r="D271" i="21"/>
  <c r="J271" i="21"/>
  <c r="J259" i="21"/>
  <c r="N258" i="21"/>
  <c r="N270" i="21"/>
  <c r="L270" i="21"/>
  <c r="L258" i="21"/>
  <c r="C259" i="21"/>
  <c r="C271" i="21"/>
  <c r="K271" i="21"/>
  <c r="K259" i="21"/>
  <c r="E272" i="21"/>
  <c r="E260" i="21"/>
  <c r="I270" i="21"/>
  <c r="I258" i="21"/>
  <c r="O257" i="2"/>
  <c r="O269" i="2"/>
  <c r="D98" i="21"/>
  <c r="D104" i="21" s="1"/>
  <c r="J98" i="21"/>
  <c r="J104" i="21" s="1"/>
  <c r="N97" i="21"/>
  <c r="N103" i="21" s="1"/>
  <c r="L97" i="21"/>
  <c r="L103" i="21" s="1"/>
  <c r="C98" i="21"/>
  <c r="C104" i="21" s="1"/>
  <c r="O97" i="1"/>
  <c r="O103" i="1" s="1"/>
  <c r="O99" i="19"/>
  <c r="O105" i="19" s="1"/>
  <c r="O99" i="15"/>
  <c r="O105" i="15" s="1"/>
  <c r="F97" i="21"/>
  <c r="F103" i="21" s="1"/>
  <c r="N99" i="21"/>
  <c r="N105" i="21" s="1"/>
  <c r="F99" i="21"/>
  <c r="F105" i="21" s="1"/>
  <c r="M84" i="21"/>
  <c r="O97" i="21"/>
  <c r="O103" i="21" s="1"/>
  <c r="O97" i="17"/>
  <c r="O103" i="17" s="1"/>
  <c r="J97" i="21"/>
  <c r="J103" i="21" s="1"/>
  <c r="H97" i="21"/>
  <c r="H103" i="21" s="1"/>
  <c r="D97" i="21"/>
  <c r="D103" i="21" s="1"/>
  <c r="I86" i="21"/>
  <c r="C99" i="21"/>
  <c r="C105" i="21" s="1"/>
  <c r="C84" i="21"/>
  <c r="E97" i="21"/>
  <c r="E103" i="21" s="1"/>
  <c r="O272" i="2"/>
  <c r="O260" i="2"/>
  <c r="O99" i="21"/>
  <c r="O105" i="21" s="1"/>
  <c r="O271" i="2"/>
  <c r="O259" i="2"/>
  <c r="I84" i="21"/>
  <c r="F98" i="21"/>
  <c r="F104" i="21" s="1"/>
  <c r="H99" i="21"/>
  <c r="H105" i="21" s="1"/>
  <c r="D99" i="21"/>
  <c r="D105" i="21" s="1"/>
  <c r="J99" i="21"/>
  <c r="J105" i="21" s="1"/>
  <c r="I85" i="21"/>
  <c r="M99" i="21"/>
  <c r="M105" i="21" s="1"/>
  <c r="O96" i="1"/>
  <c r="O102" i="1" s="1"/>
  <c r="O270" i="2"/>
  <c r="O258" i="2"/>
  <c r="O98" i="21"/>
  <c r="O104" i="21" s="1"/>
  <c r="O98" i="17"/>
  <c r="O104" i="17" s="1"/>
  <c r="O96" i="2"/>
  <c r="O102" i="2" s="1"/>
  <c r="O96" i="5"/>
  <c r="O102" i="5" s="1"/>
  <c r="O160" i="1"/>
  <c r="O159" i="2"/>
  <c r="O159" i="5"/>
  <c r="O161" i="1"/>
  <c r="Q117" i="21"/>
  <c r="R72" i="21"/>
  <c r="O159" i="17"/>
  <c r="R187" i="21"/>
  <c r="O162" i="21"/>
  <c r="Q111" i="21"/>
  <c r="O161" i="21"/>
  <c r="Q187" i="21"/>
  <c r="Q119" i="21"/>
  <c r="Q189" i="21"/>
  <c r="R207" i="21"/>
  <c r="I97" i="21"/>
  <c r="I103" i="21" s="1"/>
  <c r="I98" i="21"/>
  <c r="I104" i="21" s="1"/>
  <c r="M86" i="21"/>
  <c r="Q113" i="21"/>
  <c r="R111" i="21"/>
  <c r="Q209" i="21"/>
  <c r="R123" i="21"/>
  <c r="R119" i="21"/>
  <c r="T209" i="21"/>
  <c r="T240" i="21" s="1"/>
  <c r="R208" i="21"/>
  <c r="O160" i="2"/>
  <c r="E84" i="21"/>
  <c r="Q55" i="21"/>
  <c r="Q86" i="21" s="1"/>
  <c r="O161" i="17"/>
  <c r="O162" i="2"/>
  <c r="Q73" i="21"/>
  <c r="T119" i="21"/>
  <c r="T208" i="21"/>
  <c r="T239" i="21" s="1"/>
  <c r="O239" i="21"/>
  <c r="T207" i="21"/>
  <c r="T238" i="21" s="1"/>
  <c r="Q207" i="21"/>
  <c r="R149" i="21"/>
  <c r="O239" i="2"/>
  <c r="Q188" i="21"/>
  <c r="T156" i="21"/>
  <c r="Q123" i="21"/>
  <c r="R117" i="21"/>
  <c r="R209" i="21"/>
  <c r="Q208" i="21"/>
  <c r="R148" i="21"/>
  <c r="Q150" i="21"/>
  <c r="R144" i="21"/>
  <c r="O238" i="2"/>
  <c r="O161" i="5"/>
  <c r="O160" i="5"/>
  <c r="R74" i="21"/>
  <c r="O128" i="17"/>
  <c r="Q178" i="21"/>
  <c r="R73" i="21"/>
  <c r="R68" i="21"/>
  <c r="R66" i="21"/>
  <c r="Q177" i="21"/>
  <c r="R67" i="21"/>
  <c r="A24" i="21"/>
  <c r="O228" i="1"/>
  <c r="O215" i="1"/>
  <c r="Q72" i="21"/>
  <c r="Q67" i="21"/>
  <c r="R188" i="21"/>
  <c r="O214" i="1"/>
  <c r="O227" i="1"/>
  <c r="Q23" i="21"/>
  <c r="R177" i="21"/>
  <c r="J214" i="21"/>
  <c r="J245" i="21" s="1"/>
  <c r="R179" i="21"/>
  <c r="O226" i="1"/>
  <c r="O213" i="1"/>
  <c r="R23" i="21"/>
  <c r="O237" i="18"/>
  <c r="O226" i="18"/>
  <c r="O213" i="18"/>
  <c r="O231" i="21"/>
  <c r="O228" i="2"/>
  <c r="O215" i="2"/>
  <c r="R189" i="21"/>
  <c r="Q179" i="21"/>
  <c r="K84" i="21"/>
  <c r="Q24" i="21"/>
  <c r="O225" i="5"/>
  <c r="O212" i="5"/>
  <c r="O243" i="5" s="1"/>
  <c r="O214" i="18"/>
  <c r="O227" i="18"/>
  <c r="O225" i="18"/>
  <c r="O212" i="18"/>
  <c r="O225" i="21"/>
  <c r="O212" i="21"/>
  <c r="O227" i="17"/>
  <c r="O214" i="17"/>
  <c r="O213" i="2"/>
  <c r="O226" i="2"/>
  <c r="O232" i="17"/>
  <c r="O215" i="15"/>
  <c r="O228" i="15"/>
  <c r="O226" i="15"/>
  <c r="O213" i="15"/>
  <c r="O228" i="17"/>
  <c r="O215" i="17"/>
  <c r="O227" i="19"/>
  <c r="O214" i="19"/>
  <c r="O212" i="19"/>
  <c r="O225" i="19"/>
  <c r="O231" i="17"/>
  <c r="O233" i="17"/>
  <c r="O212" i="2"/>
  <c r="O225" i="2"/>
  <c r="O237" i="2"/>
  <c r="T179" i="21"/>
  <c r="T228" i="21" s="1"/>
  <c r="O215" i="21"/>
  <c r="O228" i="21"/>
  <c r="O246" i="18"/>
  <c r="T178" i="21"/>
  <c r="T227" i="21" s="1"/>
  <c r="R178" i="21"/>
  <c r="O213" i="17"/>
  <c r="O226" i="17"/>
  <c r="O227" i="15"/>
  <c r="O214" i="15"/>
  <c r="O225" i="15"/>
  <c r="O212" i="15"/>
  <c r="T177" i="21"/>
  <c r="T226" i="21" s="1"/>
  <c r="O226" i="21"/>
  <c r="O213" i="21"/>
  <c r="O234" i="17"/>
  <c r="O228" i="19"/>
  <c r="O215" i="19"/>
  <c r="O213" i="19"/>
  <c r="O226" i="19"/>
  <c r="O212" i="17"/>
  <c r="O225" i="17"/>
  <c r="O227" i="2"/>
  <c r="O214" i="2"/>
  <c r="O162" i="5"/>
  <c r="O240" i="5"/>
  <c r="O215" i="5"/>
  <c r="O246" i="5" s="1"/>
  <c r="O239" i="5"/>
  <c r="O214" i="5"/>
  <c r="O245" i="5" s="1"/>
  <c r="O238" i="5"/>
  <c r="O213" i="5"/>
  <c r="O244" i="5" s="1"/>
  <c r="O237" i="1"/>
  <c r="O212" i="1"/>
  <c r="R155" i="21"/>
  <c r="Q125" i="21"/>
  <c r="T124" i="21"/>
  <c r="Q142" i="21"/>
  <c r="T144" i="21"/>
  <c r="R118" i="21"/>
  <c r="O130" i="17"/>
  <c r="N160" i="21"/>
  <c r="Q112" i="21"/>
  <c r="R154" i="21"/>
  <c r="Q148" i="21"/>
  <c r="R150" i="21"/>
  <c r="M130" i="21"/>
  <c r="Q143" i="21"/>
  <c r="Q149" i="21"/>
  <c r="T113" i="21"/>
  <c r="Q124" i="21"/>
  <c r="T117" i="21"/>
  <c r="O160" i="18"/>
  <c r="T112" i="21"/>
  <c r="T118" i="21"/>
  <c r="R143" i="21"/>
  <c r="G86" i="21"/>
  <c r="R125" i="21"/>
  <c r="M162" i="21"/>
  <c r="E162" i="21"/>
  <c r="H161" i="21"/>
  <c r="R142" i="21"/>
  <c r="Q155" i="21"/>
  <c r="Q144" i="21"/>
  <c r="Q118" i="21"/>
  <c r="G99" i="21"/>
  <c r="G105" i="21" s="1"/>
  <c r="I99" i="21"/>
  <c r="I105" i="21" s="1"/>
  <c r="G98" i="21"/>
  <c r="G104" i="21" s="1"/>
  <c r="Q54" i="21"/>
  <c r="K98" i="21"/>
  <c r="K104" i="21" s="1"/>
  <c r="R54" i="21"/>
  <c r="R85" i="21" s="1"/>
  <c r="T123" i="21"/>
  <c r="T148" i="21"/>
  <c r="O131" i="21"/>
  <c r="T150" i="21"/>
  <c r="T143" i="21"/>
  <c r="T155" i="21"/>
  <c r="R124" i="21"/>
  <c r="Q53" i="21"/>
  <c r="G97" i="21"/>
  <c r="G103" i="21" s="1"/>
  <c r="R112" i="21"/>
  <c r="M97" i="21"/>
  <c r="M103" i="21" s="1"/>
  <c r="K86" i="21"/>
  <c r="R55" i="21"/>
  <c r="R86" i="21" s="1"/>
  <c r="K97" i="21"/>
  <c r="K103" i="21" s="1"/>
  <c r="R53" i="21"/>
  <c r="O130" i="21"/>
  <c r="T154" i="21"/>
  <c r="O161" i="18"/>
  <c r="T125" i="21"/>
  <c r="T149" i="21"/>
  <c r="O161" i="2"/>
  <c r="O86" i="17"/>
  <c r="O160" i="17"/>
  <c r="O129" i="17"/>
  <c r="O99" i="17"/>
  <c r="O105" i="17" s="1"/>
  <c r="O84" i="17"/>
  <c r="O85" i="17"/>
  <c r="O83" i="17"/>
  <c r="O96" i="17"/>
  <c r="O102" i="17" s="1"/>
  <c r="O162" i="17"/>
  <c r="O131" i="17"/>
  <c r="O129" i="18"/>
  <c r="O84" i="18"/>
  <c r="O128" i="18"/>
  <c r="O83" i="18"/>
  <c r="O97" i="18"/>
  <c r="O103" i="18" s="1"/>
  <c r="O96" i="18"/>
  <c r="O102" i="18" s="1"/>
  <c r="O131" i="18"/>
  <c r="O86" i="18"/>
  <c r="O130" i="18"/>
  <c r="O98" i="18"/>
  <c r="O104" i="18" s="1"/>
  <c r="O85" i="18"/>
  <c r="O99" i="18"/>
  <c r="O105" i="18" s="1"/>
  <c r="O84" i="15"/>
  <c r="O130" i="15"/>
  <c r="O128" i="15"/>
  <c r="O97" i="15"/>
  <c r="O103" i="15" s="1"/>
  <c r="O83" i="15"/>
  <c r="O131" i="15"/>
  <c r="O161" i="15"/>
  <c r="O159" i="15"/>
  <c r="O96" i="15"/>
  <c r="O102" i="15" s="1"/>
  <c r="O86" i="15"/>
  <c r="O162" i="15"/>
  <c r="O129" i="15"/>
  <c r="O85" i="15"/>
  <c r="O160" i="15"/>
  <c r="O98" i="15"/>
  <c r="O104" i="15" s="1"/>
  <c r="O159" i="21"/>
  <c r="O84" i="21"/>
  <c r="T53" i="21"/>
  <c r="J91" i="20" s="1"/>
  <c r="T55" i="21"/>
  <c r="O86" i="21"/>
  <c r="T24" i="21"/>
  <c r="O83" i="21"/>
  <c r="T25" i="21"/>
  <c r="T111" i="21"/>
  <c r="O129" i="21"/>
  <c r="T23" i="21"/>
  <c r="T54" i="21"/>
  <c r="O85" i="21"/>
  <c r="T22" i="21"/>
  <c r="O27" i="21" s="1"/>
  <c r="O128" i="21"/>
  <c r="T142" i="21"/>
  <c r="O160" i="21"/>
  <c r="O96" i="21"/>
  <c r="O102" i="21" s="1"/>
  <c r="O84" i="19"/>
  <c r="O130" i="19"/>
  <c r="O128" i="19"/>
  <c r="O97" i="19"/>
  <c r="O103" i="19" s="1"/>
  <c r="O83" i="19"/>
  <c r="O131" i="19"/>
  <c r="O161" i="19"/>
  <c r="O159" i="19"/>
  <c r="O96" i="19"/>
  <c r="O102" i="19" s="1"/>
  <c r="O86" i="19"/>
  <c r="O162" i="19"/>
  <c r="O129" i="19"/>
  <c r="O85" i="19"/>
  <c r="O160" i="19"/>
  <c r="O98" i="19"/>
  <c r="O104" i="19" s="1"/>
  <c r="O128" i="5"/>
  <c r="O99" i="5"/>
  <c r="O105" i="5" s="1"/>
  <c r="O86" i="5"/>
  <c r="O131" i="5"/>
  <c r="O85" i="5"/>
  <c r="O98" i="5"/>
  <c r="O104" i="5" s="1"/>
  <c r="O130" i="5"/>
  <c r="O84" i="5"/>
  <c r="O97" i="5"/>
  <c r="O103" i="5" s="1"/>
  <c r="O129" i="5"/>
  <c r="O83" i="5"/>
  <c r="O131" i="2"/>
  <c r="O85" i="2"/>
  <c r="O130" i="2"/>
  <c r="O84" i="2"/>
  <c r="O129" i="2"/>
  <c r="O83" i="2"/>
  <c r="O128" i="2"/>
  <c r="O99" i="2"/>
  <c r="O105" i="2" s="1"/>
  <c r="O86" i="2"/>
  <c r="O98" i="2"/>
  <c r="O104" i="2" s="1"/>
  <c r="O97" i="2"/>
  <c r="O103" i="2" s="1"/>
  <c r="O130" i="1"/>
  <c r="O85" i="1"/>
  <c r="O129" i="1"/>
  <c r="O84" i="1"/>
  <c r="O131" i="1"/>
  <c r="O86" i="1"/>
  <c r="O99" i="1"/>
  <c r="O105" i="1" s="1"/>
  <c r="O162" i="1"/>
  <c r="O128" i="1"/>
  <c r="O83" i="1"/>
  <c r="O98" i="1"/>
  <c r="O104" i="1" s="1"/>
  <c r="E86" i="21"/>
  <c r="E99" i="21"/>
  <c r="E105" i="21" s="1"/>
  <c r="I130" i="21"/>
  <c r="C97" i="21"/>
  <c r="C103" i="21" s="1"/>
  <c r="A53" i="21"/>
  <c r="A55" i="21"/>
  <c r="F131" i="21"/>
  <c r="L160" i="21"/>
  <c r="W55" i="21"/>
  <c r="X55" i="21" s="1"/>
  <c r="J161" i="21"/>
  <c r="M160" i="21"/>
  <c r="E160" i="21"/>
  <c r="J129" i="21"/>
  <c r="L162" i="21"/>
  <c r="D131" i="21"/>
  <c r="M131" i="21"/>
  <c r="E131" i="21"/>
  <c r="H130" i="21"/>
  <c r="F161" i="21"/>
  <c r="K99" i="21"/>
  <c r="K105" i="21" s="1"/>
  <c r="K85" i="21"/>
  <c r="L99" i="21"/>
  <c r="L105" i="21" s="1"/>
  <c r="W53" i="21"/>
  <c r="X53" i="21" s="1"/>
  <c r="D215" i="21"/>
  <c r="D246" i="21" s="1"/>
  <c r="F214" i="21"/>
  <c r="F245" i="21" s="1"/>
  <c r="L213" i="21"/>
  <c r="L244" i="21" s="1"/>
  <c r="K234" i="21"/>
  <c r="K129" i="21"/>
  <c r="E228" i="21"/>
  <c r="E215" i="21"/>
  <c r="C162" i="21"/>
  <c r="C238" i="21"/>
  <c r="J215" i="21"/>
  <c r="J228" i="21"/>
  <c r="G161" i="21"/>
  <c r="L215" i="21"/>
  <c r="G233" i="21"/>
  <c r="L85" i="21"/>
  <c r="I131" i="21"/>
  <c r="L130" i="21"/>
  <c r="D130" i="21"/>
  <c r="K160" i="21"/>
  <c r="C160" i="21"/>
  <c r="I228" i="21"/>
  <c r="I215" i="21"/>
  <c r="E213" i="21"/>
  <c r="E226" i="21"/>
  <c r="N85" i="21"/>
  <c r="G131" i="21"/>
  <c r="N130" i="21"/>
  <c r="F130" i="21"/>
  <c r="I129" i="21"/>
  <c r="G240" i="21"/>
  <c r="C239" i="21"/>
  <c r="K228" i="21"/>
  <c r="K215" i="21"/>
  <c r="C227" i="21"/>
  <c r="N129" i="21"/>
  <c r="J84" i="21"/>
  <c r="F160" i="21"/>
  <c r="H86" i="21"/>
  <c r="D86" i="21"/>
  <c r="F215" i="21"/>
  <c r="F228" i="21"/>
  <c r="E85" i="21"/>
  <c r="E98" i="21"/>
  <c r="E104" i="21" s="1"/>
  <c r="N131" i="21"/>
  <c r="J86" i="21"/>
  <c r="F162" i="21"/>
  <c r="H84" i="21"/>
  <c r="D84" i="21"/>
  <c r="K130" i="21"/>
  <c r="G85" i="21"/>
  <c r="W54" i="21"/>
  <c r="X54" i="21" s="1"/>
  <c r="C130" i="21"/>
  <c r="F213" i="21"/>
  <c r="M98" i="21"/>
  <c r="M104" i="21" s="1"/>
  <c r="M85" i="21"/>
  <c r="G84" i="21"/>
  <c r="D214" i="21"/>
  <c r="D227" i="21"/>
  <c r="C129" i="21"/>
  <c r="K162" i="21"/>
  <c r="K240" i="21"/>
  <c r="K226" i="21"/>
  <c r="K213" i="21"/>
  <c r="F84" i="21"/>
  <c r="J162" i="21"/>
  <c r="E227" i="21"/>
  <c r="E214" i="21"/>
  <c r="L214" i="21"/>
  <c r="L227" i="21"/>
  <c r="K233" i="21"/>
  <c r="G232" i="21"/>
  <c r="H85" i="21"/>
  <c r="I162" i="21"/>
  <c r="L161" i="21"/>
  <c r="D161" i="21"/>
  <c r="G129" i="21"/>
  <c r="M228" i="21"/>
  <c r="M215" i="21"/>
  <c r="I226" i="21"/>
  <c r="I213" i="21"/>
  <c r="L98" i="21"/>
  <c r="L104" i="21" s="1"/>
  <c r="J85" i="21"/>
  <c r="G162" i="21"/>
  <c r="N161" i="21"/>
  <c r="I160" i="21"/>
  <c r="N214" i="21"/>
  <c r="C240" i="21"/>
  <c r="K238" i="21"/>
  <c r="G227" i="21"/>
  <c r="G214" i="21"/>
  <c r="C226" i="21"/>
  <c r="M161" i="21"/>
  <c r="E130" i="21"/>
  <c r="N84" i="21"/>
  <c r="J160" i="21"/>
  <c r="L131" i="21"/>
  <c r="H131" i="21"/>
  <c r="D162" i="21"/>
  <c r="N86" i="21"/>
  <c r="J131" i="21"/>
  <c r="F86" i="21"/>
  <c r="L84" i="21"/>
  <c r="H160" i="21"/>
  <c r="D129" i="21"/>
  <c r="A22" i="21"/>
  <c r="H226" i="21"/>
  <c r="H213" i="21"/>
  <c r="I227" i="21"/>
  <c r="I214" i="21"/>
  <c r="G239" i="21"/>
  <c r="G228" i="21"/>
  <c r="G215" i="21"/>
  <c r="K161" i="21"/>
  <c r="H214" i="21"/>
  <c r="H227" i="21"/>
  <c r="K232" i="21"/>
  <c r="G234" i="21"/>
  <c r="D85" i="21"/>
  <c r="G160" i="21"/>
  <c r="M214" i="21"/>
  <c r="M227" i="21"/>
  <c r="M226" i="21"/>
  <c r="M213" i="21"/>
  <c r="H98" i="21"/>
  <c r="H104" i="21" s="1"/>
  <c r="F85" i="21"/>
  <c r="K131" i="21"/>
  <c r="C131" i="21"/>
  <c r="J130" i="21"/>
  <c r="M129" i="21"/>
  <c r="E129" i="21"/>
  <c r="A25" i="21"/>
  <c r="K239" i="21"/>
  <c r="G238" i="21"/>
  <c r="K227" i="21"/>
  <c r="K214" i="21"/>
  <c r="G226" i="21"/>
  <c r="G213" i="21"/>
  <c r="C228" i="21"/>
  <c r="N98" i="21"/>
  <c r="N104" i="21" s="1"/>
  <c r="I161" i="21"/>
  <c r="E161" i="21"/>
  <c r="F129" i="21"/>
  <c r="L86" i="21"/>
  <c r="H162" i="21"/>
  <c r="N215" i="21"/>
  <c r="N228" i="21"/>
  <c r="C86" i="21"/>
  <c r="N162" i="21"/>
  <c r="L129" i="21"/>
  <c r="H129" i="21"/>
  <c r="D160" i="21"/>
  <c r="C85" i="21"/>
  <c r="A54" i="21"/>
  <c r="G130" i="21"/>
  <c r="C161" i="21"/>
  <c r="D226" i="21"/>
  <c r="D213" i="21"/>
  <c r="J213" i="21"/>
  <c r="J226" i="21"/>
  <c r="H228" i="21"/>
  <c r="H215" i="21"/>
  <c r="N213" i="21"/>
  <c r="O276" i="5" l="1"/>
  <c r="O278" i="19"/>
  <c r="O278" i="5"/>
  <c r="O276" i="1"/>
  <c r="O275" i="15"/>
  <c r="O276" i="15"/>
  <c r="O275" i="2"/>
  <c r="O275" i="1"/>
  <c r="O278" i="17"/>
  <c r="O277" i="17"/>
  <c r="O277" i="18"/>
  <c r="O278" i="18"/>
  <c r="O275" i="18"/>
  <c r="O276" i="18"/>
  <c r="O277" i="15"/>
  <c r="O276" i="19"/>
  <c r="O275" i="21"/>
  <c r="O277" i="1"/>
  <c r="O277" i="5"/>
  <c r="O278" i="1"/>
  <c r="O278" i="15"/>
  <c r="O275" i="19"/>
  <c r="O276" i="17"/>
  <c r="O275" i="17"/>
  <c r="O275" i="5"/>
  <c r="O277" i="2"/>
  <c r="O278" i="2"/>
  <c r="O277" i="19"/>
  <c r="O277" i="21"/>
  <c r="O278" i="21"/>
  <c r="E278" i="21"/>
  <c r="E276" i="21"/>
  <c r="H276" i="21"/>
  <c r="H277" i="21"/>
  <c r="M276" i="21"/>
  <c r="Q272" i="21"/>
  <c r="F278" i="21"/>
  <c r="F276" i="21"/>
  <c r="I277" i="21"/>
  <c r="R272" i="21"/>
  <c r="H278" i="21"/>
  <c r="R271" i="21"/>
  <c r="D276" i="21"/>
  <c r="L278" i="21"/>
  <c r="Q270" i="21"/>
  <c r="M277" i="21"/>
  <c r="N278" i="21"/>
  <c r="L277" i="21"/>
  <c r="J278" i="21"/>
  <c r="T258" i="21"/>
  <c r="C276" i="21"/>
  <c r="R270" i="21"/>
  <c r="T271" i="21"/>
  <c r="Q259" i="21"/>
  <c r="G277" i="21"/>
  <c r="T259" i="21"/>
  <c r="C277" i="21"/>
  <c r="N276" i="21"/>
  <c r="D277" i="21"/>
  <c r="T260" i="21"/>
  <c r="C278" i="21"/>
  <c r="Q271" i="21"/>
  <c r="J276" i="21"/>
  <c r="Q260" i="21"/>
  <c r="G278" i="21"/>
  <c r="R260" i="21"/>
  <c r="K278" i="21"/>
  <c r="E277" i="21"/>
  <c r="T272" i="21"/>
  <c r="I276" i="21"/>
  <c r="R259" i="21"/>
  <c r="K277" i="21"/>
  <c r="R277" i="21" s="1"/>
  <c r="L276" i="21"/>
  <c r="J277" i="21"/>
  <c r="T270" i="21"/>
  <c r="I278" i="21"/>
  <c r="N277" i="21"/>
  <c r="O276" i="21"/>
  <c r="Q258" i="21"/>
  <c r="G276" i="21"/>
  <c r="M278" i="21"/>
  <c r="R258" i="21"/>
  <c r="K276" i="21"/>
  <c r="D278" i="21"/>
  <c r="F277" i="21"/>
  <c r="O276" i="2"/>
  <c r="R161" i="21"/>
  <c r="O60" i="21"/>
  <c r="J93" i="20"/>
  <c r="O59" i="21"/>
  <c r="J92" i="20"/>
  <c r="O29" i="21"/>
  <c r="J86" i="20"/>
  <c r="G27" i="21"/>
  <c r="J84" i="20"/>
  <c r="O28" i="21"/>
  <c r="J85" i="20"/>
  <c r="O30" i="21"/>
  <c r="J87" i="20"/>
  <c r="R41" i="18"/>
  <c r="R42" i="18"/>
  <c r="R43" i="18"/>
  <c r="R214" i="21"/>
  <c r="R131" i="21"/>
  <c r="Q84" i="21"/>
  <c r="R47" i="18"/>
  <c r="R78" i="18" s="1"/>
  <c r="R35" i="18"/>
  <c r="R36" i="18"/>
  <c r="R37" i="18"/>
  <c r="R160" i="21"/>
  <c r="T49" i="18"/>
  <c r="Q49" i="18"/>
  <c r="Q80" i="18" s="1"/>
  <c r="R49" i="18"/>
  <c r="R80" i="18" s="1"/>
  <c r="Q48" i="18"/>
  <c r="Q79" i="18" s="1"/>
  <c r="R48" i="18"/>
  <c r="R79" i="18" s="1"/>
  <c r="E59" i="21"/>
  <c r="J99" i="20"/>
  <c r="T161" i="21"/>
  <c r="Q160" i="21"/>
  <c r="Q85" i="21"/>
  <c r="R215" i="21"/>
  <c r="O246" i="1"/>
  <c r="N28" i="21"/>
  <c r="R84" i="21"/>
  <c r="O244" i="1"/>
  <c r="O245" i="1"/>
  <c r="Q213" i="21"/>
  <c r="Q214" i="21"/>
  <c r="O244" i="19"/>
  <c r="O243" i="19"/>
  <c r="O243" i="18"/>
  <c r="O245" i="18"/>
  <c r="O246" i="2"/>
  <c r="Q215" i="21"/>
  <c r="O244" i="21"/>
  <c r="O245" i="2"/>
  <c r="O243" i="17"/>
  <c r="O245" i="15"/>
  <c r="O244" i="17"/>
  <c r="O246" i="17"/>
  <c r="O244" i="2"/>
  <c r="O243" i="21"/>
  <c r="O244" i="18"/>
  <c r="R213" i="21"/>
  <c r="O246" i="19"/>
  <c r="O243" i="15"/>
  <c r="O246" i="21"/>
  <c r="O243" i="2"/>
  <c r="O245" i="19"/>
  <c r="O244" i="15"/>
  <c r="O246" i="15"/>
  <c r="O245" i="17"/>
  <c r="O243" i="1"/>
  <c r="T130" i="21"/>
  <c r="H60" i="21"/>
  <c r="Q130" i="21"/>
  <c r="T131" i="21"/>
  <c r="T162" i="21"/>
  <c r="Q129" i="21"/>
  <c r="R129" i="21"/>
  <c r="T48" i="18"/>
  <c r="Q35" i="18"/>
  <c r="T37" i="18"/>
  <c r="Q37" i="18"/>
  <c r="T41" i="18"/>
  <c r="Q41" i="18"/>
  <c r="T42" i="18"/>
  <c r="Q42" i="18"/>
  <c r="T43" i="18"/>
  <c r="Q43" i="18"/>
  <c r="T47" i="18"/>
  <c r="Q47" i="18"/>
  <c r="Q78" i="18" s="1"/>
  <c r="Q161" i="21"/>
  <c r="Q162" i="21"/>
  <c r="Q131" i="21"/>
  <c r="T35" i="18"/>
  <c r="T36" i="18"/>
  <c r="Q36" i="18"/>
  <c r="N60" i="21"/>
  <c r="R162" i="21"/>
  <c r="R130" i="21"/>
  <c r="D60" i="21"/>
  <c r="Q58" i="21"/>
  <c r="R58" i="21"/>
  <c r="J58" i="21"/>
  <c r="R27" i="21"/>
  <c r="Q27" i="21"/>
  <c r="Q28" i="21"/>
  <c r="R28" i="21"/>
  <c r="R60" i="21"/>
  <c r="Q60" i="21"/>
  <c r="T160" i="21"/>
  <c r="N58" i="21"/>
  <c r="R59" i="21"/>
  <c r="Q59" i="21"/>
  <c r="T129" i="21"/>
  <c r="J139" i="20" s="1"/>
  <c r="R30" i="21"/>
  <c r="Q30" i="21"/>
  <c r="R29" i="21"/>
  <c r="Q29" i="21"/>
  <c r="O58" i="21"/>
  <c r="J60" i="21"/>
  <c r="F60" i="21"/>
  <c r="L60" i="21"/>
  <c r="H58" i="21"/>
  <c r="J97" i="20"/>
  <c r="L58" i="21"/>
  <c r="F28" i="21"/>
  <c r="J28" i="21"/>
  <c r="G244" i="21"/>
  <c r="M244" i="21"/>
  <c r="G245" i="21"/>
  <c r="I28" i="21"/>
  <c r="M28" i="21"/>
  <c r="E28" i="21"/>
  <c r="D28" i="21"/>
  <c r="C28" i="21"/>
  <c r="K28" i="21"/>
  <c r="N30" i="21"/>
  <c r="G246" i="21"/>
  <c r="F30" i="21"/>
  <c r="J59" i="21"/>
  <c r="I244" i="21"/>
  <c r="H59" i="21"/>
  <c r="E245" i="21"/>
  <c r="F244" i="21"/>
  <c r="H28" i="21"/>
  <c r="F246" i="21"/>
  <c r="E60" i="21"/>
  <c r="C60" i="21"/>
  <c r="M60" i="21"/>
  <c r="K60" i="21"/>
  <c r="G60" i="21"/>
  <c r="I60" i="21"/>
  <c r="E244" i="21"/>
  <c r="D244" i="21"/>
  <c r="I59" i="21"/>
  <c r="K59" i="21"/>
  <c r="N246" i="21"/>
  <c r="M30" i="21"/>
  <c r="D30" i="21"/>
  <c r="K30" i="21"/>
  <c r="E30" i="21"/>
  <c r="I30" i="21"/>
  <c r="G30" i="21"/>
  <c r="L30" i="21"/>
  <c r="D59" i="21"/>
  <c r="H30" i="21"/>
  <c r="I29" i="21"/>
  <c r="L29" i="21"/>
  <c r="H29" i="21"/>
  <c r="F29" i="21"/>
  <c r="M29" i="21"/>
  <c r="G29" i="21"/>
  <c r="J29" i="21"/>
  <c r="D29" i="21"/>
  <c r="C29" i="21"/>
  <c r="N29" i="21"/>
  <c r="E27" i="21"/>
  <c r="M27" i="21"/>
  <c r="J27" i="21"/>
  <c r="H27" i="21"/>
  <c r="L27" i="21"/>
  <c r="F27" i="21"/>
  <c r="N27" i="21"/>
  <c r="I27" i="21"/>
  <c r="D27" i="21"/>
  <c r="N245" i="21"/>
  <c r="L245" i="21"/>
  <c r="J98" i="20"/>
  <c r="J244" i="21"/>
  <c r="K29" i="21"/>
  <c r="I245" i="21"/>
  <c r="I58" i="21"/>
  <c r="C58" i="21"/>
  <c r="K58" i="21"/>
  <c r="G58" i="21"/>
  <c r="M58" i="21"/>
  <c r="E58" i="21"/>
  <c r="H244" i="21"/>
  <c r="K27" i="21"/>
  <c r="D245" i="21"/>
  <c r="E29" i="21"/>
  <c r="G59" i="21"/>
  <c r="D58" i="21"/>
  <c r="J30" i="21"/>
  <c r="K246" i="21"/>
  <c r="N59" i="21"/>
  <c r="I246" i="21"/>
  <c r="L59" i="21"/>
  <c r="J246" i="21"/>
  <c r="N244" i="21"/>
  <c r="H246" i="21"/>
  <c r="C59" i="21"/>
  <c r="K245" i="21"/>
  <c r="C30" i="21"/>
  <c r="F59" i="21"/>
  <c r="M245" i="21"/>
  <c r="H245" i="21"/>
  <c r="C27" i="21"/>
  <c r="M246" i="21"/>
  <c r="F58" i="21"/>
  <c r="K244" i="21"/>
  <c r="M59" i="21"/>
  <c r="L28" i="21"/>
  <c r="L246" i="21"/>
  <c r="G28" i="21"/>
  <c r="E246" i="21"/>
  <c r="R135" i="21" l="1"/>
  <c r="Q278" i="21"/>
  <c r="R276" i="21"/>
  <c r="R278" i="21"/>
  <c r="Q277" i="21"/>
  <c r="Q276" i="21"/>
  <c r="T276" i="21"/>
  <c r="J151" i="20" s="1"/>
  <c r="T278" i="21"/>
  <c r="J153" i="20" s="1"/>
  <c r="T277" i="21"/>
  <c r="J152" i="20" s="1"/>
  <c r="O167" i="21"/>
  <c r="J147" i="20"/>
  <c r="J135" i="21"/>
  <c r="J140" i="20"/>
  <c r="C165" i="21"/>
  <c r="J145" i="20"/>
  <c r="O136" i="21"/>
  <c r="J141" i="20"/>
  <c r="O166" i="21"/>
  <c r="J146" i="20"/>
  <c r="R136" i="21"/>
  <c r="R167" i="21"/>
  <c r="Q166" i="21"/>
  <c r="O135" i="21"/>
  <c r="Q135" i="21"/>
  <c r="Q167" i="21"/>
  <c r="K135" i="21"/>
  <c r="N167" i="21"/>
  <c r="R166" i="21"/>
  <c r="E135" i="21"/>
  <c r="E166" i="21"/>
  <c r="D166" i="21"/>
  <c r="C166" i="21"/>
  <c r="K136" i="21"/>
  <c r="T28" i="21"/>
  <c r="Q136" i="21"/>
  <c r="T58" i="21"/>
  <c r="Q134" i="21"/>
  <c r="R134" i="21"/>
  <c r="Q165" i="21"/>
  <c r="R165" i="21"/>
  <c r="G165" i="21"/>
  <c r="J134" i="21"/>
  <c r="H134" i="21"/>
  <c r="N134" i="21"/>
  <c r="I165" i="21"/>
  <c r="T29" i="21"/>
  <c r="T27" i="21"/>
  <c r="T30" i="21"/>
  <c r="T59" i="21"/>
  <c r="E134" i="21"/>
  <c r="T60" i="21"/>
  <c r="O134" i="21"/>
  <c r="O165" i="21"/>
  <c r="M134" i="21"/>
  <c r="F135" i="21"/>
  <c r="D135" i="21"/>
  <c r="L135" i="21"/>
  <c r="G135" i="21"/>
  <c r="I134" i="21"/>
  <c r="G166" i="21"/>
  <c r="I166" i="21"/>
  <c r="M166" i="21"/>
  <c r="K166" i="21"/>
  <c r="L166" i="21"/>
  <c r="N166" i="21"/>
  <c r="C136" i="21"/>
  <c r="J167" i="21"/>
  <c r="H136" i="21"/>
  <c r="N136" i="21"/>
  <c r="I136" i="21"/>
  <c r="N135" i="21"/>
  <c r="C135" i="21"/>
  <c r="E165" i="21"/>
  <c r="M165" i="21"/>
  <c r="L165" i="21"/>
  <c r="N165" i="21"/>
  <c r="D134" i="21"/>
  <c r="E167" i="21"/>
  <c r="L167" i="21"/>
  <c r="M167" i="21"/>
  <c r="F134" i="21"/>
  <c r="F167" i="21"/>
  <c r="C134" i="21"/>
  <c r="L134" i="21"/>
  <c r="I167" i="21"/>
  <c r="G167" i="21"/>
  <c r="C167" i="21"/>
  <c r="K165" i="21"/>
  <c r="F165" i="21"/>
  <c r="M136" i="21"/>
  <c r="D136" i="21"/>
  <c r="F136" i="21"/>
  <c r="E136" i="21"/>
  <c r="D167" i="21"/>
  <c r="H167" i="21"/>
  <c r="G134" i="21"/>
  <c r="L136" i="21"/>
  <c r="K134" i="21"/>
  <c r="I135" i="21"/>
  <c r="M135" i="21"/>
  <c r="H135" i="21"/>
  <c r="H165" i="21"/>
  <c r="H166" i="21"/>
  <c r="J166" i="21"/>
  <c r="F166" i="21"/>
  <c r="D165" i="21"/>
  <c r="G136" i="21"/>
  <c r="K167" i="21"/>
  <c r="J136" i="21"/>
  <c r="J165" i="21"/>
  <c r="I77" i="20"/>
  <c r="I83" i="20" s="1"/>
  <c r="I89" i="20" s="1"/>
  <c r="I95" i="20" s="1"/>
  <c r="I101" i="20" s="1"/>
  <c r="N77" i="20"/>
  <c r="N83" i="20" s="1"/>
  <c r="N89" i="20" s="1"/>
  <c r="N95" i="20" s="1"/>
  <c r="N101" i="20" s="1"/>
  <c r="M89" i="20"/>
  <c r="M95" i="20" s="1"/>
  <c r="M101" i="20" s="1"/>
  <c r="L77" i="20"/>
  <c r="L83" i="20" s="1"/>
  <c r="L89" i="20" s="1"/>
  <c r="L95" i="20" s="1"/>
  <c r="L101" i="20" s="1"/>
  <c r="H77" i="20"/>
  <c r="H83" i="20" s="1"/>
  <c r="H89" i="20" s="1"/>
  <c r="H95" i="20" s="1"/>
  <c r="H101" i="20" s="1"/>
  <c r="G77" i="20"/>
  <c r="G83" i="20" s="1"/>
  <c r="G89" i="20" s="1"/>
  <c r="G95" i="20" s="1"/>
  <c r="G101" i="20" s="1"/>
  <c r="E77" i="20"/>
  <c r="E83" i="20" s="1"/>
  <c r="E89" i="20" s="1"/>
  <c r="E95" i="20" s="1"/>
  <c r="E101" i="20" s="1"/>
  <c r="H107" i="20" l="1"/>
  <c r="H113" i="20" s="1"/>
  <c r="H119" i="20" s="1"/>
  <c r="H125" i="20"/>
  <c r="H131" i="20" s="1"/>
  <c r="H137" i="20" s="1"/>
  <c r="H143" i="20" s="1"/>
  <c r="H149" i="20" s="1"/>
  <c r="G107" i="20"/>
  <c r="G113" i="20" s="1"/>
  <c r="G119" i="20" s="1"/>
  <c r="G125" i="20"/>
  <c r="G131" i="20" s="1"/>
  <c r="G137" i="20" s="1"/>
  <c r="G143" i="20" s="1"/>
  <c r="G149" i="20" s="1"/>
  <c r="L107" i="20"/>
  <c r="L113" i="20" s="1"/>
  <c r="L119" i="20" s="1"/>
  <c r="L125" i="20"/>
  <c r="L131" i="20" s="1"/>
  <c r="L137" i="20" s="1"/>
  <c r="L143" i="20" s="1"/>
  <c r="L149" i="20" s="1"/>
  <c r="M107" i="20"/>
  <c r="M113" i="20" s="1"/>
  <c r="M119" i="20" s="1"/>
  <c r="M125" i="20"/>
  <c r="M131" i="20" s="1"/>
  <c r="M137" i="20" s="1"/>
  <c r="M143" i="20" s="1"/>
  <c r="M149" i="20" s="1"/>
  <c r="N107" i="20"/>
  <c r="N113" i="20" s="1"/>
  <c r="N119" i="20" s="1"/>
  <c r="N125" i="20"/>
  <c r="N131" i="20" s="1"/>
  <c r="N137" i="20" s="1"/>
  <c r="N143" i="20" s="1"/>
  <c r="N149" i="20" s="1"/>
  <c r="T165" i="21"/>
  <c r="T166" i="21"/>
  <c r="T167" i="21"/>
  <c r="T134" i="21"/>
  <c r="T136" i="21"/>
  <c r="T135" i="21"/>
  <c r="E125" i="20"/>
  <c r="E131" i="20" s="1"/>
  <c r="E137" i="20" s="1"/>
  <c r="E143" i="20" s="1"/>
  <c r="E149" i="20" s="1"/>
  <c r="E107" i="20"/>
  <c r="E113" i="20" s="1"/>
  <c r="E119" i="20" s="1"/>
  <c r="I107" i="20"/>
  <c r="I113" i="20" s="1"/>
  <c r="I119" i="20" s="1"/>
  <c r="I125" i="20"/>
  <c r="I131" i="20" s="1"/>
  <c r="I137" i="20" s="1"/>
  <c r="I143" i="20" s="1"/>
  <c r="I149" i="20" s="1"/>
  <c r="M156" i="19"/>
  <c r="M155" i="19"/>
  <c r="M154" i="19"/>
  <c r="M156" i="17"/>
  <c r="M155" i="17"/>
  <c r="M154" i="17"/>
  <c r="M156" i="18"/>
  <c r="M155" i="18"/>
  <c r="M154" i="18"/>
  <c r="M156" i="15"/>
  <c r="M155" i="15"/>
  <c r="M154" i="15"/>
  <c r="M156" i="5"/>
  <c r="M155" i="5"/>
  <c r="M154" i="5"/>
  <c r="M125" i="19"/>
  <c r="M124" i="19"/>
  <c r="M123" i="19"/>
  <c r="M125" i="17"/>
  <c r="M124" i="17"/>
  <c r="M123" i="17"/>
  <c r="M125" i="18"/>
  <c r="M124" i="18"/>
  <c r="M123" i="18"/>
  <c r="M125" i="15"/>
  <c r="M124" i="15"/>
  <c r="M123" i="15"/>
  <c r="M125" i="5"/>
  <c r="M124" i="5"/>
  <c r="M123" i="5"/>
  <c r="N203" i="19" l="1"/>
  <c r="M203" i="19"/>
  <c r="L203" i="19"/>
  <c r="K203" i="19"/>
  <c r="J203" i="19"/>
  <c r="I203" i="19"/>
  <c r="H203" i="19"/>
  <c r="G203" i="19"/>
  <c r="F203" i="19"/>
  <c r="E203" i="19"/>
  <c r="D203" i="19"/>
  <c r="C203" i="19"/>
  <c r="N202" i="19"/>
  <c r="M202" i="19"/>
  <c r="L202" i="19"/>
  <c r="K202" i="19"/>
  <c r="J202" i="19"/>
  <c r="I202" i="19"/>
  <c r="H202" i="19"/>
  <c r="G202" i="19"/>
  <c r="F202" i="19"/>
  <c r="E202" i="19"/>
  <c r="D202" i="19"/>
  <c r="C202" i="19"/>
  <c r="N201" i="19"/>
  <c r="M201" i="19"/>
  <c r="L201" i="19"/>
  <c r="K201" i="19"/>
  <c r="J201" i="19"/>
  <c r="I201" i="19"/>
  <c r="H201" i="19"/>
  <c r="G201" i="19"/>
  <c r="F201" i="19"/>
  <c r="E201" i="19"/>
  <c r="D201" i="19"/>
  <c r="C201" i="19"/>
  <c r="N200" i="19"/>
  <c r="M200" i="19"/>
  <c r="L200" i="19"/>
  <c r="K200" i="19"/>
  <c r="J200" i="19"/>
  <c r="I200" i="19"/>
  <c r="H200" i="19"/>
  <c r="G200" i="19"/>
  <c r="F200" i="19"/>
  <c r="E200" i="19"/>
  <c r="D200" i="19"/>
  <c r="C200" i="19"/>
  <c r="N199" i="19"/>
  <c r="M199" i="19"/>
  <c r="L199" i="19"/>
  <c r="K199" i="19"/>
  <c r="J199" i="19"/>
  <c r="I199" i="19"/>
  <c r="H199" i="19"/>
  <c r="G199" i="19"/>
  <c r="F199" i="19"/>
  <c r="E199" i="19"/>
  <c r="D199" i="19"/>
  <c r="C199" i="19"/>
  <c r="N198" i="19"/>
  <c r="M198" i="19"/>
  <c r="L198" i="19"/>
  <c r="K198" i="19"/>
  <c r="J198" i="19"/>
  <c r="I198" i="19"/>
  <c r="H198" i="19"/>
  <c r="G198" i="19"/>
  <c r="F198" i="19"/>
  <c r="E198" i="19"/>
  <c r="D198" i="19"/>
  <c r="C198" i="19"/>
  <c r="N197" i="19"/>
  <c r="M197" i="19"/>
  <c r="L197" i="19"/>
  <c r="K197" i="19"/>
  <c r="J197" i="19"/>
  <c r="I197" i="19"/>
  <c r="H197" i="19"/>
  <c r="G197" i="19"/>
  <c r="F197" i="19"/>
  <c r="E197" i="19"/>
  <c r="D197" i="19"/>
  <c r="C197" i="19"/>
  <c r="N196" i="19"/>
  <c r="M196" i="19"/>
  <c r="L196" i="19"/>
  <c r="K196" i="19"/>
  <c r="J196" i="19"/>
  <c r="I196" i="19"/>
  <c r="H196" i="19"/>
  <c r="G196" i="19"/>
  <c r="F196" i="19"/>
  <c r="E196" i="19"/>
  <c r="D196" i="19"/>
  <c r="C196" i="19"/>
  <c r="N195" i="19"/>
  <c r="M195" i="19"/>
  <c r="L195" i="19"/>
  <c r="K195" i="19"/>
  <c r="J195" i="19"/>
  <c r="I195" i="19"/>
  <c r="H195" i="19"/>
  <c r="G195" i="19"/>
  <c r="F195" i="19"/>
  <c r="E195" i="19"/>
  <c r="D195" i="19"/>
  <c r="C195" i="19"/>
  <c r="N194" i="19"/>
  <c r="M194" i="19"/>
  <c r="L194" i="19"/>
  <c r="K194" i="19"/>
  <c r="J194" i="19"/>
  <c r="I194" i="19"/>
  <c r="H194" i="19"/>
  <c r="G194" i="19"/>
  <c r="F194" i="19"/>
  <c r="E194" i="19"/>
  <c r="D194" i="19"/>
  <c r="C194" i="19"/>
  <c r="N193" i="19"/>
  <c r="M193" i="19"/>
  <c r="L193" i="19"/>
  <c r="K193" i="19"/>
  <c r="J193" i="19"/>
  <c r="I193" i="19"/>
  <c r="H193" i="19"/>
  <c r="G193" i="19"/>
  <c r="F193" i="19"/>
  <c r="E193" i="19"/>
  <c r="D193" i="19"/>
  <c r="C193" i="19"/>
  <c r="N192" i="19"/>
  <c r="M192" i="19"/>
  <c r="L192" i="19"/>
  <c r="K192" i="19"/>
  <c r="J192" i="19"/>
  <c r="I192" i="19"/>
  <c r="H192" i="19"/>
  <c r="G192" i="19"/>
  <c r="F192" i="19"/>
  <c r="E192" i="19"/>
  <c r="D192" i="19"/>
  <c r="C192" i="19"/>
  <c r="N183" i="19"/>
  <c r="M183" i="19"/>
  <c r="L183" i="19"/>
  <c r="K183" i="19"/>
  <c r="J183" i="19"/>
  <c r="I183" i="19"/>
  <c r="H183" i="19"/>
  <c r="G183" i="19"/>
  <c r="F183" i="19"/>
  <c r="E183" i="19"/>
  <c r="D183" i="19"/>
  <c r="C183" i="19"/>
  <c r="N182" i="19"/>
  <c r="M182" i="19"/>
  <c r="L182" i="19"/>
  <c r="K182" i="19"/>
  <c r="J182" i="19"/>
  <c r="I182" i="19"/>
  <c r="H182" i="19"/>
  <c r="G182" i="19"/>
  <c r="F182" i="19"/>
  <c r="E182" i="19"/>
  <c r="D182" i="19"/>
  <c r="C182" i="19"/>
  <c r="N181" i="19"/>
  <c r="M181" i="19"/>
  <c r="L181" i="19"/>
  <c r="K181" i="19"/>
  <c r="J181" i="19"/>
  <c r="I181" i="19"/>
  <c r="H181" i="19"/>
  <c r="G181" i="19"/>
  <c r="F181" i="19"/>
  <c r="E181" i="19"/>
  <c r="D181" i="19"/>
  <c r="N173" i="19"/>
  <c r="M173" i="19"/>
  <c r="L173" i="19"/>
  <c r="K173" i="19"/>
  <c r="J173" i="19"/>
  <c r="I173" i="19"/>
  <c r="H173" i="19"/>
  <c r="G173" i="19"/>
  <c r="F173" i="19"/>
  <c r="E173" i="19"/>
  <c r="D173" i="19"/>
  <c r="C173" i="19"/>
  <c r="N172" i="19"/>
  <c r="M172" i="19"/>
  <c r="L172" i="19"/>
  <c r="K172" i="19"/>
  <c r="J172" i="19"/>
  <c r="I172" i="19"/>
  <c r="H172" i="19"/>
  <c r="G172" i="19"/>
  <c r="F172" i="19"/>
  <c r="E172" i="19"/>
  <c r="D172" i="19"/>
  <c r="C172" i="19"/>
  <c r="N171" i="19"/>
  <c r="M171" i="19"/>
  <c r="L171" i="19"/>
  <c r="K171" i="19"/>
  <c r="J171" i="19"/>
  <c r="I171" i="19"/>
  <c r="H171" i="19"/>
  <c r="G171" i="19"/>
  <c r="F171" i="19"/>
  <c r="E171" i="19"/>
  <c r="D171" i="19"/>
  <c r="C171" i="19"/>
  <c r="N203" i="17"/>
  <c r="M203" i="17"/>
  <c r="L203" i="17"/>
  <c r="K203" i="17"/>
  <c r="J203" i="17"/>
  <c r="I203" i="17"/>
  <c r="H203" i="17"/>
  <c r="G203" i="17"/>
  <c r="F203" i="17"/>
  <c r="E203" i="17"/>
  <c r="D203" i="17"/>
  <c r="C203" i="17"/>
  <c r="N202" i="17"/>
  <c r="M202" i="17"/>
  <c r="L202" i="17"/>
  <c r="K202" i="17"/>
  <c r="J202" i="17"/>
  <c r="I202" i="17"/>
  <c r="H202" i="17"/>
  <c r="G202" i="17"/>
  <c r="F202" i="17"/>
  <c r="E202" i="17"/>
  <c r="D202" i="17"/>
  <c r="C202" i="17"/>
  <c r="N201" i="17"/>
  <c r="M201" i="17"/>
  <c r="L201" i="17"/>
  <c r="K201" i="17"/>
  <c r="J201" i="17"/>
  <c r="I201" i="17"/>
  <c r="H201" i="17"/>
  <c r="G201" i="17"/>
  <c r="F201" i="17"/>
  <c r="E201" i="17"/>
  <c r="D201" i="17"/>
  <c r="C201" i="17"/>
  <c r="N200" i="17"/>
  <c r="M200" i="17"/>
  <c r="L200" i="17"/>
  <c r="K200" i="17"/>
  <c r="J200" i="17"/>
  <c r="I200" i="17"/>
  <c r="H200" i="17"/>
  <c r="G200" i="17"/>
  <c r="F200" i="17"/>
  <c r="E200" i="17"/>
  <c r="D200" i="17"/>
  <c r="C200" i="17"/>
  <c r="N199" i="17"/>
  <c r="M199" i="17"/>
  <c r="L199" i="17"/>
  <c r="K199" i="17"/>
  <c r="J199" i="17"/>
  <c r="I199" i="17"/>
  <c r="H199" i="17"/>
  <c r="G199" i="17"/>
  <c r="F199" i="17"/>
  <c r="E199" i="17"/>
  <c r="D199" i="17"/>
  <c r="C199" i="17"/>
  <c r="N198" i="17"/>
  <c r="M198" i="17"/>
  <c r="L198" i="17"/>
  <c r="K198" i="17"/>
  <c r="J198" i="17"/>
  <c r="I198" i="17"/>
  <c r="H198" i="17"/>
  <c r="G198" i="17"/>
  <c r="F198" i="17"/>
  <c r="E198" i="17"/>
  <c r="D198" i="17"/>
  <c r="C198" i="17"/>
  <c r="N197" i="17"/>
  <c r="M197" i="17"/>
  <c r="L197" i="17"/>
  <c r="K197" i="17"/>
  <c r="J197" i="17"/>
  <c r="I197" i="17"/>
  <c r="H197" i="17"/>
  <c r="G197" i="17"/>
  <c r="F197" i="17"/>
  <c r="E197" i="17"/>
  <c r="D197" i="17"/>
  <c r="C197" i="17"/>
  <c r="N196" i="17"/>
  <c r="M196" i="17"/>
  <c r="L196" i="17"/>
  <c r="K196" i="17"/>
  <c r="J196" i="17"/>
  <c r="I196" i="17"/>
  <c r="H196" i="17"/>
  <c r="G196" i="17"/>
  <c r="F196" i="17"/>
  <c r="E196" i="17"/>
  <c r="D196" i="17"/>
  <c r="C196" i="17"/>
  <c r="N195" i="17"/>
  <c r="M195" i="17"/>
  <c r="L195" i="17"/>
  <c r="K195" i="17"/>
  <c r="J195" i="17"/>
  <c r="I195" i="17"/>
  <c r="H195" i="17"/>
  <c r="G195" i="17"/>
  <c r="F195" i="17"/>
  <c r="E195" i="17"/>
  <c r="D195" i="17"/>
  <c r="C195" i="17"/>
  <c r="N194" i="17"/>
  <c r="M194" i="17"/>
  <c r="L194" i="17"/>
  <c r="K194" i="17"/>
  <c r="J194" i="17"/>
  <c r="I194" i="17"/>
  <c r="H194" i="17"/>
  <c r="G194" i="17"/>
  <c r="F194" i="17"/>
  <c r="E194" i="17"/>
  <c r="D194" i="17"/>
  <c r="C194" i="17"/>
  <c r="N193" i="17"/>
  <c r="M193" i="17"/>
  <c r="L193" i="17"/>
  <c r="K193" i="17"/>
  <c r="J193" i="17"/>
  <c r="I193" i="17"/>
  <c r="H193" i="17"/>
  <c r="G193" i="17"/>
  <c r="F193" i="17"/>
  <c r="E193" i="17"/>
  <c r="D193" i="17"/>
  <c r="C193" i="17"/>
  <c r="N192" i="17"/>
  <c r="M192" i="17"/>
  <c r="L192" i="17"/>
  <c r="K192" i="17"/>
  <c r="J192" i="17"/>
  <c r="I192" i="17"/>
  <c r="H192" i="17"/>
  <c r="G192" i="17"/>
  <c r="F192" i="17"/>
  <c r="E192" i="17"/>
  <c r="D192" i="17"/>
  <c r="C192" i="17"/>
  <c r="N183" i="17"/>
  <c r="M183" i="17"/>
  <c r="L183" i="17"/>
  <c r="K183" i="17"/>
  <c r="J183" i="17"/>
  <c r="I183" i="17"/>
  <c r="H183" i="17"/>
  <c r="G183" i="17"/>
  <c r="F183" i="17"/>
  <c r="E183" i="17"/>
  <c r="D183" i="17"/>
  <c r="C183" i="17"/>
  <c r="N182" i="17"/>
  <c r="M182" i="17"/>
  <c r="L182" i="17"/>
  <c r="K182" i="17"/>
  <c r="J182" i="17"/>
  <c r="I182" i="17"/>
  <c r="H182" i="17"/>
  <c r="G182" i="17"/>
  <c r="F182" i="17"/>
  <c r="E182" i="17"/>
  <c r="D182" i="17"/>
  <c r="C182" i="17"/>
  <c r="N181" i="17"/>
  <c r="M181" i="17"/>
  <c r="L181" i="17"/>
  <c r="K181" i="17"/>
  <c r="J181" i="17"/>
  <c r="I181" i="17"/>
  <c r="H181" i="17"/>
  <c r="G181" i="17"/>
  <c r="F181" i="17"/>
  <c r="E181" i="17"/>
  <c r="D181" i="17"/>
  <c r="N173" i="17"/>
  <c r="M173" i="17"/>
  <c r="L173" i="17"/>
  <c r="K173" i="17"/>
  <c r="J173" i="17"/>
  <c r="I173" i="17"/>
  <c r="H173" i="17"/>
  <c r="G173" i="17"/>
  <c r="F173" i="17"/>
  <c r="E173" i="17"/>
  <c r="D173" i="17"/>
  <c r="C173" i="17"/>
  <c r="N172" i="17"/>
  <c r="M172" i="17"/>
  <c r="L172" i="17"/>
  <c r="K172" i="17"/>
  <c r="J172" i="17"/>
  <c r="I172" i="17"/>
  <c r="H172" i="17"/>
  <c r="G172" i="17"/>
  <c r="F172" i="17"/>
  <c r="E172" i="17"/>
  <c r="D172" i="17"/>
  <c r="C172" i="17"/>
  <c r="N171" i="17"/>
  <c r="M171" i="17"/>
  <c r="L171" i="17"/>
  <c r="K171" i="17"/>
  <c r="J171" i="17"/>
  <c r="I171" i="17"/>
  <c r="H171" i="17"/>
  <c r="G171" i="17"/>
  <c r="F171" i="17"/>
  <c r="E171" i="17"/>
  <c r="D171" i="17"/>
  <c r="C171" i="17"/>
  <c r="N203" i="18"/>
  <c r="M203" i="18"/>
  <c r="L203" i="18"/>
  <c r="K203" i="18"/>
  <c r="J203" i="18"/>
  <c r="I203" i="18"/>
  <c r="H203" i="18"/>
  <c r="G203" i="18"/>
  <c r="F203" i="18"/>
  <c r="E203" i="18"/>
  <c r="D203" i="18"/>
  <c r="C203" i="18"/>
  <c r="N202" i="18"/>
  <c r="M202" i="18"/>
  <c r="L202" i="18"/>
  <c r="K202" i="18"/>
  <c r="J202" i="18"/>
  <c r="I202" i="18"/>
  <c r="H202" i="18"/>
  <c r="G202" i="18"/>
  <c r="F202" i="18"/>
  <c r="E202" i="18"/>
  <c r="D202" i="18"/>
  <c r="C202" i="18"/>
  <c r="N201" i="18"/>
  <c r="M201" i="18"/>
  <c r="L201" i="18"/>
  <c r="K201" i="18"/>
  <c r="J201" i="18"/>
  <c r="I201" i="18"/>
  <c r="H201" i="18"/>
  <c r="G201" i="18"/>
  <c r="F201" i="18"/>
  <c r="E201" i="18"/>
  <c r="D201" i="18"/>
  <c r="C201" i="18"/>
  <c r="N200" i="18"/>
  <c r="M200" i="18"/>
  <c r="L200" i="18"/>
  <c r="K200" i="18"/>
  <c r="J200" i="18"/>
  <c r="I200" i="18"/>
  <c r="H200" i="18"/>
  <c r="G200" i="18"/>
  <c r="F200" i="18"/>
  <c r="E200" i="18"/>
  <c r="D200" i="18"/>
  <c r="C200" i="18"/>
  <c r="N199" i="18"/>
  <c r="M199" i="18"/>
  <c r="L199" i="18"/>
  <c r="K199" i="18"/>
  <c r="J199" i="18"/>
  <c r="I199" i="18"/>
  <c r="H199" i="18"/>
  <c r="G199" i="18"/>
  <c r="F199" i="18"/>
  <c r="E199" i="18"/>
  <c r="D199" i="18"/>
  <c r="C199" i="18"/>
  <c r="N198" i="18"/>
  <c r="M198" i="18"/>
  <c r="L198" i="18"/>
  <c r="K198" i="18"/>
  <c r="J198" i="18"/>
  <c r="I198" i="18"/>
  <c r="H198" i="18"/>
  <c r="G198" i="18"/>
  <c r="F198" i="18"/>
  <c r="E198" i="18"/>
  <c r="D198" i="18"/>
  <c r="C198" i="18"/>
  <c r="N197" i="18"/>
  <c r="M197" i="18"/>
  <c r="L197" i="18"/>
  <c r="K197" i="18"/>
  <c r="J197" i="18"/>
  <c r="I197" i="18"/>
  <c r="H197" i="18"/>
  <c r="G197" i="18"/>
  <c r="F197" i="18"/>
  <c r="E197" i="18"/>
  <c r="D197" i="18"/>
  <c r="C197" i="18"/>
  <c r="N196" i="18"/>
  <c r="M196" i="18"/>
  <c r="L196" i="18"/>
  <c r="K196" i="18"/>
  <c r="J196" i="18"/>
  <c r="I196" i="18"/>
  <c r="H196" i="18"/>
  <c r="G196" i="18"/>
  <c r="F196" i="18"/>
  <c r="E196" i="18"/>
  <c r="D196" i="18"/>
  <c r="C196" i="18"/>
  <c r="N195" i="18"/>
  <c r="M195" i="18"/>
  <c r="L195" i="18"/>
  <c r="K195" i="18"/>
  <c r="J195" i="18"/>
  <c r="I195" i="18"/>
  <c r="H195" i="18"/>
  <c r="G195" i="18"/>
  <c r="F195" i="18"/>
  <c r="E195" i="18"/>
  <c r="D195" i="18"/>
  <c r="C195" i="18"/>
  <c r="N194" i="18"/>
  <c r="M194" i="18"/>
  <c r="L194" i="18"/>
  <c r="K194" i="18"/>
  <c r="J194" i="18"/>
  <c r="I194" i="18"/>
  <c r="H194" i="18"/>
  <c r="G194" i="18"/>
  <c r="F194" i="18"/>
  <c r="E194" i="18"/>
  <c r="D194" i="18"/>
  <c r="C194" i="18"/>
  <c r="N193" i="18"/>
  <c r="M193" i="18"/>
  <c r="L193" i="18"/>
  <c r="K193" i="18"/>
  <c r="J193" i="18"/>
  <c r="I193" i="18"/>
  <c r="H193" i="18"/>
  <c r="G193" i="18"/>
  <c r="F193" i="18"/>
  <c r="E193" i="18"/>
  <c r="D193" i="18"/>
  <c r="C193" i="18"/>
  <c r="N192" i="18"/>
  <c r="M192" i="18"/>
  <c r="L192" i="18"/>
  <c r="K192" i="18"/>
  <c r="J192" i="18"/>
  <c r="I192" i="18"/>
  <c r="H192" i="18"/>
  <c r="G192" i="18"/>
  <c r="F192" i="18"/>
  <c r="E192" i="18"/>
  <c r="D192" i="18"/>
  <c r="C192" i="18"/>
  <c r="N183" i="18"/>
  <c r="M183" i="18"/>
  <c r="L183" i="18"/>
  <c r="K183" i="18"/>
  <c r="J183" i="18"/>
  <c r="I183" i="18"/>
  <c r="H183" i="18"/>
  <c r="G183" i="18"/>
  <c r="F183" i="18"/>
  <c r="E183" i="18"/>
  <c r="D183" i="18"/>
  <c r="C183" i="18"/>
  <c r="N182" i="18"/>
  <c r="M182" i="18"/>
  <c r="L182" i="18"/>
  <c r="K182" i="18"/>
  <c r="J182" i="18"/>
  <c r="I182" i="18"/>
  <c r="H182" i="18"/>
  <c r="G182" i="18"/>
  <c r="F182" i="18"/>
  <c r="E182" i="18"/>
  <c r="D182" i="18"/>
  <c r="C182" i="18"/>
  <c r="N181" i="18"/>
  <c r="M181" i="18"/>
  <c r="L181" i="18"/>
  <c r="K181" i="18"/>
  <c r="J181" i="18"/>
  <c r="I181" i="18"/>
  <c r="H181" i="18"/>
  <c r="G181" i="18"/>
  <c r="F181" i="18"/>
  <c r="E181" i="18"/>
  <c r="D181" i="18"/>
  <c r="N173" i="18"/>
  <c r="M173" i="18"/>
  <c r="L173" i="18"/>
  <c r="K173" i="18"/>
  <c r="J173" i="18"/>
  <c r="I173" i="18"/>
  <c r="H173" i="18"/>
  <c r="G173" i="18"/>
  <c r="F173" i="18"/>
  <c r="E173" i="18"/>
  <c r="D173" i="18"/>
  <c r="C173" i="18"/>
  <c r="N172" i="18"/>
  <c r="M172" i="18"/>
  <c r="L172" i="18"/>
  <c r="K172" i="18"/>
  <c r="J172" i="18"/>
  <c r="I172" i="18"/>
  <c r="H172" i="18"/>
  <c r="G172" i="18"/>
  <c r="F172" i="18"/>
  <c r="E172" i="18"/>
  <c r="D172" i="18"/>
  <c r="C172" i="18"/>
  <c r="N171" i="18"/>
  <c r="M171" i="18"/>
  <c r="L171" i="18"/>
  <c r="K171" i="18"/>
  <c r="J171" i="18"/>
  <c r="I171" i="18"/>
  <c r="H171" i="18"/>
  <c r="G171" i="18"/>
  <c r="F171" i="18"/>
  <c r="E171" i="18"/>
  <c r="D171" i="18"/>
  <c r="C171" i="18"/>
  <c r="N203" i="15"/>
  <c r="M203" i="15"/>
  <c r="L203" i="15"/>
  <c r="K203" i="15"/>
  <c r="J203" i="15"/>
  <c r="I203" i="15"/>
  <c r="H203" i="15"/>
  <c r="G203" i="15"/>
  <c r="F203" i="15"/>
  <c r="E203" i="15"/>
  <c r="D203" i="15"/>
  <c r="C203" i="15"/>
  <c r="N202" i="15"/>
  <c r="M202" i="15"/>
  <c r="L202" i="15"/>
  <c r="K202" i="15"/>
  <c r="J202" i="15"/>
  <c r="I202" i="15"/>
  <c r="H202" i="15"/>
  <c r="G202" i="15"/>
  <c r="F202" i="15"/>
  <c r="E202" i="15"/>
  <c r="D202" i="15"/>
  <c r="C202" i="15"/>
  <c r="N201" i="15"/>
  <c r="M201" i="15"/>
  <c r="L201" i="15"/>
  <c r="K201" i="15"/>
  <c r="J201" i="15"/>
  <c r="I201" i="15"/>
  <c r="H201" i="15"/>
  <c r="G201" i="15"/>
  <c r="F201" i="15"/>
  <c r="E201" i="15"/>
  <c r="D201" i="15"/>
  <c r="C201" i="15"/>
  <c r="N200" i="15"/>
  <c r="M200" i="15"/>
  <c r="L200" i="15"/>
  <c r="K200" i="15"/>
  <c r="J200" i="15"/>
  <c r="I200" i="15"/>
  <c r="H200" i="15"/>
  <c r="G200" i="15"/>
  <c r="F200" i="15"/>
  <c r="E200" i="15"/>
  <c r="D200" i="15"/>
  <c r="C200" i="15"/>
  <c r="N199" i="15"/>
  <c r="M199" i="15"/>
  <c r="L199" i="15"/>
  <c r="K199" i="15"/>
  <c r="J199" i="15"/>
  <c r="I199" i="15"/>
  <c r="H199" i="15"/>
  <c r="G199" i="15"/>
  <c r="F199" i="15"/>
  <c r="E199" i="15"/>
  <c r="D199" i="15"/>
  <c r="C199" i="15"/>
  <c r="N198" i="15"/>
  <c r="M198" i="15"/>
  <c r="L198" i="15"/>
  <c r="K198" i="15"/>
  <c r="J198" i="15"/>
  <c r="I198" i="15"/>
  <c r="H198" i="15"/>
  <c r="G198" i="15"/>
  <c r="F198" i="15"/>
  <c r="E198" i="15"/>
  <c r="D198" i="15"/>
  <c r="C198" i="15"/>
  <c r="N197" i="15"/>
  <c r="M197" i="15"/>
  <c r="L197" i="15"/>
  <c r="K197" i="15"/>
  <c r="J197" i="15"/>
  <c r="I197" i="15"/>
  <c r="H197" i="15"/>
  <c r="G197" i="15"/>
  <c r="F197" i="15"/>
  <c r="E197" i="15"/>
  <c r="D197" i="15"/>
  <c r="C197" i="15"/>
  <c r="N196" i="15"/>
  <c r="M196" i="15"/>
  <c r="L196" i="15"/>
  <c r="K196" i="15"/>
  <c r="J196" i="15"/>
  <c r="I196" i="15"/>
  <c r="H196" i="15"/>
  <c r="G196" i="15"/>
  <c r="F196" i="15"/>
  <c r="E196" i="15"/>
  <c r="D196" i="15"/>
  <c r="C196" i="15"/>
  <c r="N195" i="15"/>
  <c r="M195" i="15"/>
  <c r="L195" i="15"/>
  <c r="K195" i="15"/>
  <c r="J195" i="15"/>
  <c r="I195" i="15"/>
  <c r="H195" i="15"/>
  <c r="G195" i="15"/>
  <c r="F195" i="15"/>
  <c r="E195" i="15"/>
  <c r="D195" i="15"/>
  <c r="C195" i="15"/>
  <c r="N194" i="15"/>
  <c r="M194" i="15"/>
  <c r="L194" i="15"/>
  <c r="K194" i="15"/>
  <c r="J194" i="15"/>
  <c r="I194" i="15"/>
  <c r="H194" i="15"/>
  <c r="G194" i="15"/>
  <c r="F194" i="15"/>
  <c r="E194" i="15"/>
  <c r="D194" i="15"/>
  <c r="C194" i="15"/>
  <c r="N193" i="15"/>
  <c r="M193" i="15"/>
  <c r="L193" i="15"/>
  <c r="K193" i="15"/>
  <c r="J193" i="15"/>
  <c r="I193" i="15"/>
  <c r="H193" i="15"/>
  <c r="G193" i="15"/>
  <c r="F193" i="15"/>
  <c r="E193" i="15"/>
  <c r="D193" i="15"/>
  <c r="C193" i="15"/>
  <c r="N192" i="15"/>
  <c r="M192" i="15"/>
  <c r="L192" i="15"/>
  <c r="K192" i="15"/>
  <c r="J192" i="15"/>
  <c r="I192" i="15"/>
  <c r="H192" i="15"/>
  <c r="G192" i="15"/>
  <c r="F192" i="15"/>
  <c r="E192" i="15"/>
  <c r="D192" i="15"/>
  <c r="C192" i="15"/>
  <c r="N183" i="15"/>
  <c r="M183" i="15"/>
  <c r="L183" i="15"/>
  <c r="K183" i="15"/>
  <c r="J183" i="15"/>
  <c r="I183" i="15"/>
  <c r="H183" i="15"/>
  <c r="G183" i="15"/>
  <c r="F183" i="15"/>
  <c r="E183" i="15"/>
  <c r="D183" i="15"/>
  <c r="C183" i="15"/>
  <c r="N182" i="15"/>
  <c r="M182" i="15"/>
  <c r="L182" i="15"/>
  <c r="K182" i="15"/>
  <c r="J182" i="15"/>
  <c r="I182" i="15"/>
  <c r="H182" i="15"/>
  <c r="G182" i="15"/>
  <c r="F182" i="15"/>
  <c r="E182" i="15"/>
  <c r="D182" i="15"/>
  <c r="C182" i="15"/>
  <c r="N181" i="15"/>
  <c r="M181" i="15"/>
  <c r="L181" i="15"/>
  <c r="K181" i="15"/>
  <c r="J181" i="15"/>
  <c r="I181" i="15"/>
  <c r="H181" i="15"/>
  <c r="G181" i="15"/>
  <c r="F181" i="15"/>
  <c r="E181" i="15"/>
  <c r="D181" i="15"/>
  <c r="N173" i="15"/>
  <c r="M173" i="15"/>
  <c r="L173" i="15"/>
  <c r="K173" i="15"/>
  <c r="J173" i="15"/>
  <c r="I173" i="15"/>
  <c r="H173" i="15"/>
  <c r="G173" i="15"/>
  <c r="F173" i="15"/>
  <c r="E173" i="15"/>
  <c r="D173" i="15"/>
  <c r="C173" i="15"/>
  <c r="N172" i="15"/>
  <c r="M172" i="15"/>
  <c r="L172" i="15"/>
  <c r="K172" i="15"/>
  <c r="J172" i="15"/>
  <c r="I172" i="15"/>
  <c r="H172" i="15"/>
  <c r="G172" i="15"/>
  <c r="F172" i="15"/>
  <c r="E172" i="15"/>
  <c r="D172" i="15"/>
  <c r="C172" i="15"/>
  <c r="N171" i="15"/>
  <c r="M171" i="15"/>
  <c r="L171" i="15"/>
  <c r="K171" i="15"/>
  <c r="J171" i="15"/>
  <c r="I171" i="15"/>
  <c r="H171" i="15"/>
  <c r="G171" i="15"/>
  <c r="F171" i="15"/>
  <c r="E171" i="15"/>
  <c r="D171" i="15"/>
  <c r="C171" i="15"/>
  <c r="N203" i="5"/>
  <c r="M203" i="5"/>
  <c r="L203" i="5"/>
  <c r="K203" i="5"/>
  <c r="J203" i="5"/>
  <c r="I203" i="5"/>
  <c r="H203" i="5"/>
  <c r="G203" i="5"/>
  <c r="F203" i="5"/>
  <c r="E203" i="5"/>
  <c r="D203" i="5"/>
  <c r="C203" i="5"/>
  <c r="N202" i="5"/>
  <c r="M202" i="5"/>
  <c r="L202" i="5"/>
  <c r="K202" i="5"/>
  <c r="J202" i="5"/>
  <c r="I202" i="5"/>
  <c r="H202" i="5"/>
  <c r="G202" i="5"/>
  <c r="F202" i="5"/>
  <c r="E202" i="5"/>
  <c r="D202" i="5"/>
  <c r="C202" i="5"/>
  <c r="N201" i="5"/>
  <c r="M201" i="5"/>
  <c r="L201" i="5"/>
  <c r="K201" i="5"/>
  <c r="J201" i="5"/>
  <c r="I201" i="5"/>
  <c r="H201" i="5"/>
  <c r="G201" i="5"/>
  <c r="F201" i="5"/>
  <c r="E201" i="5"/>
  <c r="D201" i="5"/>
  <c r="C201" i="5"/>
  <c r="N200" i="5"/>
  <c r="M200" i="5"/>
  <c r="L200" i="5"/>
  <c r="K200" i="5"/>
  <c r="J200" i="5"/>
  <c r="I200" i="5"/>
  <c r="H200" i="5"/>
  <c r="G200" i="5"/>
  <c r="F200" i="5"/>
  <c r="E200" i="5"/>
  <c r="D200" i="5"/>
  <c r="C200" i="5"/>
  <c r="N199" i="5"/>
  <c r="M199" i="5"/>
  <c r="L199" i="5"/>
  <c r="K199" i="5"/>
  <c r="J199" i="5"/>
  <c r="I199" i="5"/>
  <c r="H199" i="5"/>
  <c r="G199" i="5"/>
  <c r="F199" i="5"/>
  <c r="E199" i="5"/>
  <c r="D199" i="5"/>
  <c r="C199" i="5"/>
  <c r="N198" i="5"/>
  <c r="M198" i="5"/>
  <c r="L198" i="5"/>
  <c r="K198" i="5"/>
  <c r="J198" i="5"/>
  <c r="I198" i="5"/>
  <c r="H198" i="5"/>
  <c r="G198" i="5"/>
  <c r="F198" i="5"/>
  <c r="E198" i="5"/>
  <c r="D198" i="5"/>
  <c r="C198" i="5"/>
  <c r="N197" i="5"/>
  <c r="M197" i="5"/>
  <c r="L197" i="5"/>
  <c r="K197" i="5"/>
  <c r="J197" i="5"/>
  <c r="I197" i="5"/>
  <c r="H197" i="5"/>
  <c r="G197" i="5"/>
  <c r="F197" i="5"/>
  <c r="E197" i="5"/>
  <c r="D197" i="5"/>
  <c r="C197" i="5"/>
  <c r="N196" i="5"/>
  <c r="M196" i="5"/>
  <c r="L196" i="5"/>
  <c r="K196" i="5"/>
  <c r="J196" i="5"/>
  <c r="I196" i="5"/>
  <c r="H196" i="5"/>
  <c r="G196" i="5"/>
  <c r="F196" i="5"/>
  <c r="E196" i="5"/>
  <c r="D196" i="5"/>
  <c r="C196" i="5"/>
  <c r="N195" i="5"/>
  <c r="M195" i="5"/>
  <c r="L195" i="5"/>
  <c r="K195" i="5"/>
  <c r="J195" i="5"/>
  <c r="I195" i="5"/>
  <c r="H195" i="5"/>
  <c r="G195" i="5"/>
  <c r="F195" i="5"/>
  <c r="E195" i="5"/>
  <c r="D195" i="5"/>
  <c r="C195" i="5"/>
  <c r="N194" i="5"/>
  <c r="M194" i="5"/>
  <c r="L194" i="5"/>
  <c r="K194" i="5"/>
  <c r="J194" i="5"/>
  <c r="I194" i="5"/>
  <c r="H194" i="5"/>
  <c r="G194" i="5"/>
  <c r="F194" i="5"/>
  <c r="E194" i="5"/>
  <c r="D194" i="5"/>
  <c r="C194" i="5"/>
  <c r="N193" i="5"/>
  <c r="M193" i="5"/>
  <c r="L193" i="5"/>
  <c r="K193" i="5"/>
  <c r="J193" i="5"/>
  <c r="I193" i="5"/>
  <c r="H193" i="5"/>
  <c r="G193" i="5"/>
  <c r="F193" i="5"/>
  <c r="E193" i="5"/>
  <c r="D193" i="5"/>
  <c r="C193" i="5"/>
  <c r="N192" i="5"/>
  <c r="M192" i="5"/>
  <c r="L192" i="5"/>
  <c r="K192" i="5"/>
  <c r="J192" i="5"/>
  <c r="I192" i="5"/>
  <c r="H192" i="5"/>
  <c r="G192" i="5"/>
  <c r="F192" i="5"/>
  <c r="E192" i="5"/>
  <c r="D192" i="5"/>
  <c r="C192" i="5"/>
  <c r="N183" i="5"/>
  <c r="M183" i="5"/>
  <c r="L183" i="5"/>
  <c r="K183" i="5"/>
  <c r="J183" i="5"/>
  <c r="I183" i="5"/>
  <c r="H183" i="5"/>
  <c r="G183" i="5"/>
  <c r="F183" i="5"/>
  <c r="E183" i="5"/>
  <c r="D183" i="5"/>
  <c r="C183" i="5"/>
  <c r="N182" i="5"/>
  <c r="M182" i="5"/>
  <c r="L182" i="5"/>
  <c r="K182" i="5"/>
  <c r="J182" i="5"/>
  <c r="I182" i="5"/>
  <c r="H182" i="5"/>
  <c r="G182" i="5"/>
  <c r="F182" i="5"/>
  <c r="E182" i="5"/>
  <c r="D182" i="5"/>
  <c r="C182" i="5"/>
  <c r="N181" i="5"/>
  <c r="M181" i="5"/>
  <c r="L181" i="5"/>
  <c r="K181" i="5"/>
  <c r="J181" i="5"/>
  <c r="I181" i="5"/>
  <c r="H181" i="5"/>
  <c r="G181" i="5"/>
  <c r="F181" i="5"/>
  <c r="E181" i="5"/>
  <c r="D181" i="5"/>
  <c r="N173" i="5"/>
  <c r="M173" i="5"/>
  <c r="L173" i="5"/>
  <c r="K173" i="5"/>
  <c r="J173" i="5"/>
  <c r="I173" i="5"/>
  <c r="H173" i="5"/>
  <c r="G173" i="5"/>
  <c r="F173" i="5"/>
  <c r="E173" i="5"/>
  <c r="D173" i="5"/>
  <c r="C173" i="5"/>
  <c r="N172" i="5"/>
  <c r="M172" i="5"/>
  <c r="L172" i="5"/>
  <c r="K172" i="5"/>
  <c r="J172" i="5"/>
  <c r="I172" i="5"/>
  <c r="H172" i="5"/>
  <c r="G172" i="5"/>
  <c r="F172" i="5"/>
  <c r="E172" i="5"/>
  <c r="D172" i="5"/>
  <c r="C172" i="5"/>
  <c r="N171" i="5"/>
  <c r="M171" i="5"/>
  <c r="L171" i="5"/>
  <c r="K171" i="5"/>
  <c r="J171" i="5"/>
  <c r="I171" i="5"/>
  <c r="H171" i="5"/>
  <c r="G171" i="5"/>
  <c r="F171" i="5"/>
  <c r="E171" i="5"/>
  <c r="D171" i="5"/>
  <c r="C171" i="5"/>
  <c r="N203" i="2"/>
  <c r="M203" i="2"/>
  <c r="L203" i="2"/>
  <c r="K203" i="2"/>
  <c r="J203" i="2"/>
  <c r="I203" i="2"/>
  <c r="H203" i="2"/>
  <c r="G203" i="2"/>
  <c r="F203" i="2"/>
  <c r="E203" i="2"/>
  <c r="D203" i="2"/>
  <c r="C203" i="2"/>
  <c r="N202" i="2"/>
  <c r="M202" i="2"/>
  <c r="L202" i="2"/>
  <c r="K202" i="2"/>
  <c r="J202" i="2"/>
  <c r="I202" i="2"/>
  <c r="H202" i="2"/>
  <c r="G202" i="2"/>
  <c r="F202" i="2"/>
  <c r="E202" i="2"/>
  <c r="D202" i="2"/>
  <c r="C202" i="2"/>
  <c r="N201" i="2"/>
  <c r="M201" i="2"/>
  <c r="L201" i="2"/>
  <c r="K201" i="2"/>
  <c r="J201" i="2"/>
  <c r="I201" i="2"/>
  <c r="H201" i="2"/>
  <c r="G201" i="2"/>
  <c r="F201" i="2"/>
  <c r="E201" i="2"/>
  <c r="D201" i="2"/>
  <c r="C201" i="2"/>
  <c r="N200" i="2"/>
  <c r="M200" i="2"/>
  <c r="L200" i="2"/>
  <c r="K200" i="2"/>
  <c r="J200" i="2"/>
  <c r="I200" i="2"/>
  <c r="H200" i="2"/>
  <c r="G200" i="2"/>
  <c r="F200" i="2"/>
  <c r="E200" i="2"/>
  <c r="D200" i="2"/>
  <c r="C200" i="2"/>
  <c r="N199" i="2"/>
  <c r="M199" i="2"/>
  <c r="L199" i="2"/>
  <c r="K199" i="2"/>
  <c r="J199" i="2"/>
  <c r="I199" i="2"/>
  <c r="H199" i="2"/>
  <c r="G199" i="2"/>
  <c r="F199" i="2"/>
  <c r="E199" i="2"/>
  <c r="D199" i="2"/>
  <c r="C199" i="2"/>
  <c r="N198" i="2"/>
  <c r="M198" i="2"/>
  <c r="L198" i="2"/>
  <c r="K198" i="2"/>
  <c r="J198" i="2"/>
  <c r="I198" i="2"/>
  <c r="H198" i="2"/>
  <c r="G198" i="2"/>
  <c r="F198" i="2"/>
  <c r="E198" i="2"/>
  <c r="D198" i="2"/>
  <c r="C198" i="2"/>
  <c r="N197" i="2"/>
  <c r="M197" i="2"/>
  <c r="L197" i="2"/>
  <c r="K197" i="2"/>
  <c r="J197" i="2"/>
  <c r="I197" i="2"/>
  <c r="H197" i="2"/>
  <c r="G197" i="2"/>
  <c r="F197" i="2"/>
  <c r="E197" i="2"/>
  <c r="D197" i="2"/>
  <c r="C197" i="2"/>
  <c r="N196" i="2"/>
  <c r="M196" i="2"/>
  <c r="L196" i="2"/>
  <c r="K196" i="2"/>
  <c r="J196" i="2"/>
  <c r="I196" i="2"/>
  <c r="H196" i="2"/>
  <c r="G196" i="2"/>
  <c r="F196" i="2"/>
  <c r="E196" i="2"/>
  <c r="D196" i="2"/>
  <c r="C196" i="2"/>
  <c r="N195" i="2"/>
  <c r="M195" i="2"/>
  <c r="L195" i="2"/>
  <c r="K195" i="2"/>
  <c r="J195" i="2"/>
  <c r="I195" i="2"/>
  <c r="H195" i="2"/>
  <c r="G195" i="2"/>
  <c r="F195" i="2"/>
  <c r="E195" i="2"/>
  <c r="C195" i="2"/>
  <c r="N194" i="2"/>
  <c r="M194" i="2"/>
  <c r="L194" i="2"/>
  <c r="K194" i="2"/>
  <c r="J194" i="2"/>
  <c r="I194" i="2"/>
  <c r="H194" i="2"/>
  <c r="G194" i="2"/>
  <c r="F194" i="2"/>
  <c r="E194" i="2"/>
  <c r="C194" i="2"/>
  <c r="N193" i="2"/>
  <c r="M193" i="2"/>
  <c r="L193" i="2"/>
  <c r="K193" i="2"/>
  <c r="J193" i="2"/>
  <c r="I193" i="2"/>
  <c r="H193" i="2"/>
  <c r="G193" i="2"/>
  <c r="F193" i="2"/>
  <c r="E193" i="2"/>
  <c r="C193" i="2"/>
  <c r="N192" i="2"/>
  <c r="M192" i="2"/>
  <c r="L192" i="2"/>
  <c r="K192" i="2"/>
  <c r="J192" i="2"/>
  <c r="I192" i="2"/>
  <c r="H192" i="2"/>
  <c r="G192" i="2"/>
  <c r="F192" i="2"/>
  <c r="E192" i="2"/>
  <c r="C192" i="2"/>
  <c r="N183" i="2"/>
  <c r="M183" i="2"/>
  <c r="L183" i="2"/>
  <c r="K183" i="2"/>
  <c r="J183" i="2"/>
  <c r="I183" i="2"/>
  <c r="H183" i="2"/>
  <c r="G183" i="2"/>
  <c r="F183" i="2"/>
  <c r="E183" i="2"/>
  <c r="D183" i="2"/>
  <c r="C183" i="2"/>
  <c r="N182" i="2"/>
  <c r="M182" i="2"/>
  <c r="L182" i="2"/>
  <c r="K182" i="2"/>
  <c r="J182" i="2"/>
  <c r="I182" i="2"/>
  <c r="H182" i="2"/>
  <c r="G182" i="2"/>
  <c r="F182" i="2"/>
  <c r="E182" i="2"/>
  <c r="D182" i="2"/>
  <c r="C182" i="2"/>
  <c r="N181" i="2"/>
  <c r="M181" i="2"/>
  <c r="L181" i="2"/>
  <c r="K181" i="2"/>
  <c r="J181" i="2"/>
  <c r="I181" i="2"/>
  <c r="H181" i="2"/>
  <c r="G181" i="2"/>
  <c r="F181" i="2"/>
  <c r="E181" i="2"/>
  <c r="D181" i="2"/>
  <c r="N173" i="2"/>
  <c r="M173" i="2"/>
  <c r="L173" i="2"/>
  <c r="K173" i="2"/>
  <c r="J173" i="2"/>
  <c r="I173" i="2"/>
  <c r="H173" i="2"/>
  <c r="G173" i="2"/>
  <c r="F173" i="2"/>
  <c r="E173" i="2"/>
  <c r="D173" i="2"/>
  <c r="C173" i="2"/>
  <c r="N172" i="2"/>
  <c r="M172" i="2"/>
  <c r="L172" i="2"/>
  <c r="K172" i="2"/>
  <c r="J172" i="2"/>
  <c r="I172" i="2"/>
  <c r="H172" i="2"/>
  <c r="G172" i="2"/>
  <c r="F172" i="2"/>
  <c r="E172" i="2"/>
  <c r="D172" i="2"/>
  <c r="C172" i="2"/>
  <c r="N171" i="2"/>
  <c r="M171" i="2"/>
  <c r="L171" i="2"/>
  <c r="K171" i="2"/>
  <c r="J171" i="2"/>
  <c r="I171" i="2"/>
  <c r="H171" i="2"/>
  <c r="G171" i="2"/>
  <c r="F171" i="2"/>
  <c r="E171" i="2"/>
  <c r="D171" i="2"/>
  <c r="C171" i="2"/>
  <c r="N203" i="1"/>
  <c r="M203" i="1"/>
  <c r="L203" i="1"/>
  <c r="K203" i="1"/>
  <c r="J203" i="1"/>
  <c r="I203" i="1"/>
  <c r="H203" i="1"/>
  <c r="G203" i="1"/>
  <c r="F203" i="1"/>
  <c r="E203" i="1"/>
  <c r="D203" i="1"/>
  <c r="C203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N181" i="1"/>
  <c r="M181" i="1"/>
  <c r="L181" i="1"/>
  <c r="K181" i="1"/>
  <c r="J181" i="1"/>
  <c r="I181" i="1"/>
  <c r="H181" i="1"/>
  <c r="G181" i="1"/>
  <c r="F181" i="1"/>
  <c r="E181" i="1"/>
  <c r="D181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E32" i="20"/>
  <c r="C181" i="23" s="1"/>
  <c r="C188" i="23" l="1"/>
  <c r="C189" i="23"/>
  <c r="C187" i="23"/>
  <c r="C181" i="2"/>
  <c r="C181" i="5"/>
  <c r="C181" i="15"/>
  <c r="C181" i="18"/>
  <c r="C181" i="17"/>
  <c r="C181" i="19"/>
  <c r="C181" i="1"/>
  <c r="C234" i="23" l="1"/>
  <c r="A209" i="23"/>
  <c r="C215" i="23"/>
  <c r="T189" i="23"/>
  <c r="T234" i="23" s="1"/>
  <c r="A207" i="23"/>
  <c r="T187" i="23"/>
  <c r="T232" i="23" s="1"/>
  <c r="C213" i="23"/>
  <c r="C232" i="23"/>
  <c r="A208" i="23"/>
  <c r="C233" i="23"/>
  <c r="T188" i="23"/>
  <c r="T233" i="23" s="1"/>
  <c r="C214" i="23"/>
  <c r="C189" i="21"/>
  <c r="C187" i="21"/>
  <c r="C188" i="21"/>
  <c r="T213" i="23" l="1"/>
  <c r="C244" i="23"/>
  <c r="T215" i="23"/>
  <c r="F105" i="20" s="1"/>
  <c r="C246" i="23"/>
  <c r="T214" i="23"/>
  <c r="F104" i="20" s="1"/>
  <c r="C245" i="23"/>
  <c r="C233" i="21"/>
  <c r="A208" i="21"/>
  <c r="C214" i="21"/>
  <c r="T188" i="21"/>
  <c r="T233" i="21" s="1"/>
  <c r="A207" i="21"/>
  <c r="T187" i="21"/>
  <c r="T232" i="21" s="1"/>
  <c r="C232" i="21"/>
  <c r="C213" i="21"/>
  <c r="A209" i="21"/>
  <c r="C215" i="21"/>
  <c r="T189" i="21"/>
  <c r="T234" i="21" s="1"/>
  <c r="C234" i="21"/>
  <c r="M209" i="19"/>
  <c r="M240" i="19" s="1"/>
  <c r="M208" i="19"/>
  <c r="M239" i="19" s="1"/>
  <c r="M207" i="19"/>
  <c r="M238" i="19" s="1"/>
  <c r="N93" i="19"/>
  <c r="M93" i="19"/>
  <c r="L93" i="19"/>
  <c r="K93" i="19"/>
  <c r="J93" i="19"/>
  <c r="I93" i="19"/>
  <c r="H93" i="19"/>
  <c r="G93" i="19"/>
  <c r="F93" i="19"/>
  <c r="E93" i="19"/>
  <c r="D93" i="19"/>
  <c r="C93" i="19"/>
  <c r="N92" i="19"/>
  <c r="M92" i="19"/>
  <c r="L92" i="19"/>
  <c r="K92" i="19"/>
  <c r="J92" i="19"/>
  <c r="I92" i="19"/>
  <c r="H92" i="19"/>
  <c r="G92" i="19"/>
  <c r="F92" i="19"/>
  <c r="E92" i="19"/>
  <c r="D92" i="19"/>
  <c r="C92" i="19"/>
  <c r="N91" i="19"/>
  <c r="M91" i="19"/>
  <c r="L91" i="19"/>
  <c r="K91" i="19"/>
  <c r="J91" i="19"/>
  <c r="I91" i="19"/>
  <c r="H91" i="19"/>
  <c r="G91" i="19"/>
  <c r="F91" i="19"/>
  <c r="E91" i="19"/>
  <c r="D91" i="19"/>
  <c r="C91" i="19"/>
  <c r="N90" i="19"/>
  <c r="M90" i="19"/>
  <c r="L90" i="19"/>
  <c r="K90" i="19"/>
  <c r="J90" i="19"/>
  <c r="I90" i="19"/>
  <c r="H90" i="19"/>
  <c r="G90" i="19"/>
  <c r="F90" i="19"/>
  <c r="E90" i="19"/>
  <c r="D90" i="19"/>
  <c r="C90" i="19"/>
  <c r="M80" i="19"/>
  <c r="M79" i="19"/>
  <c r="M78" i="19"/>
  <c r="N156" i="19"/>
  <c r="L156" i="19"/>
  <c r="H156" i="19"/>
  <c r="E156" i="19"/>
  <c r="D156" i="19"/>
  <c r="J155" i="19"/>
  <c r="F155" i="19"/>
  <c r="E155" i="19"/>
  <c r="D155" i="19"/>
  <c r="J154" i="19"/>
  <c r="I154" i="19"/>
  <c r="F154" i="19"/>
  <c r="N150" i="19"/>
  <c r="M189" i="19"/>
  <c r="L150" i="19"/>
  <c r="J150" i="19"/>
  <c r="I189" i="19"/>
  <c r="H189" i="19"/>
  <c r="F150" i="19"/>
  <c r="E189" i="19"/>
  <c r="D189" i="19"/>
  <c r="N149" i="19"/>
  <c r="M149" i="19"/>
  <c r="L188" i="19"/>
  <c r="I149" i="19"/>
  <c r="H188" i="19"/>
  <c r="E149" i="19"/>
  <c r="D188" i="19"/>
  <c r="N187" i="19"/>
  <c r="M148" i="19"/>
  <c r="L148" i="19"/>
  <c r="I187" i="19"/>
  <c r="H148" i="19"/>
  <c r="F148" i="19"/>
  <c r="E187" i="19"/>
  <c r="D148" i="19"/>
  <c r="N144" i="19"/>
  <c r="M179" i="19"/>
  <c r="L179" i="19"/>
  <c r="J144" i="19"/>
  <c r="I179" i="19"/>
  <c r="H144" i="19"/>
  <c r="F144" i="19"/>
  <c r="E179" i="19"/>
  <c r="D179" i="19"/>
  <c r="M143" i="19"/>
  <c r="I143" i="19"/>
  <c r="E143" i="19"/>
  <c r="D143" i="19"/>
  <c r="N142" i="19"/>
  <c r="M142" i="19"/>
  <c r="L142" i="19"/>
  <c r="J177" i="19"/>
  <c r="I142" i="19"/>
  <c r="H142" i="19"/>
  <c r="F177" i="19"/>
  <c r="E177" i="19"/>
  <c r="D142" i="19"/>
  <c r="R13" i="19"/>
  <c r="R12" i="19"/>
  <c r="N10" i="19"/>
  <c r="N264" i="19" s="1"/>
  <c r="M10" i="19"/>
  <c r="M264" i="19" s="1"/>
  <c r="L10" i="19"/>
  <c r="L264" i="19" s="1"/>
  <c r="K10" i="19"/>
  <c r="K264" i="19" s="1"/>
  <c r="J10" i="19"/>
  <c r="J264" i="19" s="1"/>
  <c r="I10" i="19"/>
  <c r="I264" i="19" s="1"/>
  <c r="H10" i="19"/>
  <c r="H264" i="19" s="1"/>
  <c r="G10" i="19"/>
  <c r="G264" i="19" s="1"/>
  <c r="F10" i="19"/>
  <c r="F264" i="19" s="1"/>
  <c r="E10" i="19"/>
  <c r="E264" i="19" s="1"/>
  <c r="D10" i="19"/>
  <c r="D264" i="19" s="1"/>
  <c r="C10" i="19"/>
  <c r="C264" i="19" s="1"/>
  <c r="R7" i="19"/>
  <c r="N4" i="19"/>
  <c r="M4" i="19"/>
  <c r="L4" i="19"/>
  <c r="K4" i="19"/>
  <c r="J4" i="19"/>
  <c r="I4" i="19"/>
  <c r="H4" i="19"/>
  <c r="G4" i="19"/>
  <c r="F4" i="19"/>
  <c r="E4" i="19"/>
  <c r="D4" i="19"/>
  <c r="C4" i="19"/>
  <c r="M161" i="19" l="1"/>
  <c r="R264" i="19"/>
  <c r="C218" i="23"/>
  <c r="F103" i="20"/>
  <c r="T264" i="19"/>
  <c r="Q264" i="19"/>
  <c r="N220" i="23"/>
  <c r="L220" i="23"/>
  <c r="R220" i="23"/>
  <c r="D220" i="23"/>
  <c r="K220" i="23"/>
  <c r="I220" i="23"/>
  <c r="J220" i="23"/>
  <c r="O220" i="23"/>
  <c r="F111" i="20"/>
  <c r="H220" i="23"/>
  <c r="G220" i="23"/>
  <c r="F117" i="20"/>
  <c r="M220" i="23"/>
  <c r="E220" i="23"/>
  <c r="F220" i="23"/>
  <c r="Q220" i="23"/>
  <c r="I219" i="23"/>
  <c r="E219" i="23"/>
  <c r="O219" i="23"/>
  <c r="J219" i="23"/>
  <c r="Q219" i="23"/>
  <c r="M219" i="23"/>
  <c r="L219" i="23"/>
  <c r="F219" i="23"/>
  <c r="D219" i="23"/>
  <c r="R219" i="23"/>
  <c r="G219" i="23"/>
  <c r="F110" i="20"/>
  <c r="H219" i="23"/>
  <c r="N219" i="23"/>
  <c r="K219" i="23"/>
  <c r="F116" i="20"/>
  <c r="C220" i="23"/>
  <c r="C219" i="23"/>
  <c r="G218" i="23"/>
  <c r="F109" i="20"/>
  <c r="E218" i="23"/>
  <c r="Q218" i="23"/>
  <c r="N218" i="23"/>
  <c r="F218" i="23"/>
  <c r="F115" i="20"/>
  <c r="J218" i="23"/>
  <c r="L218" i="23"/>
  <c r="O218" i="23"/>
  <c r="R218" i="23"/>
  <c r="H218" i="23"/>
  <c r="M218" i="23"/>
  <c r="K218" i="23"/>
  <c r="I218" i="23"/>
  <c r="D218" i="23"/>
  <c r="R10" i="19"/>
  <c r="R4" i="19"/>
  <c r="L177" i="19"/>
  <c r="M160" i="19"/>
  <c r="T214" i="21"/>
  <c r="V214" i="21" s="1"/>
  <c r="J116" i="20" s="1"/>
  <c r="C245" i="21"/>
  <c r="T215" i="21"/>
  <c r="V215" i="21" s="1"/>
  <c r="J117" i="20" s="1"/>
  <c r="C246" i="21"/>
  <c r="T213" i="21"/>
  <c r="C244" i="21"/>
  <c r="D187" i="19"/>
  <c r="D232" i="19" s="1"/>
  <c r="E178" i="19"/>
  <c r="H177" i="19"/>
  <c r="H179" i="19"/>
  <c r="L189" i="19"/>
  <c r="L234" i="19" s="1"/>
  <c r="H187" i="19"/>
  <c r="H232" i="19" s="1"/>
  <c r="F187" i="19"/>
  <c r="F232" i="19" s="1"/>
  <c r="L187" i="19"/>
  <c r="L232" i="19" s="1"/>
  <c r="R37" i="19"/>
  <c r="R68" i="19" s="1"/>
  <c r="R41" i="19"/>
  <c r="R42" i="19"/>
  <c r="N177" i="19"/>
  <c r="F179" i="19"/>
  <c r="N179" i="19"/>
  <c r="D177" i="19"/>
  <c r="I177" i="19"/>
  <c r="I226" i="19" s="1"/>
  <c r="I188" i="19"/>
  <c r="I233" i="19" s="1"/>
  <c r="I178" i="19"/>
  <c r="E188" i="19"/>
  <c r="E233" i="19" s="1"/>
  <c r="M177" i="19"/>
  <c r="M226" i="19" s="1"/>
  <c r="M178" i="19"/>
  <c r="M187" i="19"/>
  <c r="M188" i="19"/>
  <c r="M233" i="19" s="1"/>
  <c r="Q4" i="19"/>
  <c r="T5" i="19"/>
  <c r="K177" i="19"/>
  <c r="R5" i="19"/>
  <c r="G178" i="19"/>
  <c r="Q6" i="19"/>
  <c r="K178" i="19"/>
  <c r="R6" i="19"/>
  <c r="Q7" i="19"/>
  <c r="T10" i="19"/>
  <c r="Q10" i="19"/>
  <c r="C187" i="19"/>
  <c r="T11" i="19"/>
  <c r="K187" i="19"/>
  <c r="R11" i="19"/>
  <c r="R72" i="19" s="1"/>
  <c r="C188" i="19"/>
  <c r="T12" i="19"/>
  <c r="G188" i="19"/>
  <c r="G233" i="19" s="1"/>
  <c r="Q12" i="19"/>
  <c r="R73" i="19"/>
  <c r="T4" i="19"/>
  <c r="G177" i="19"/>
  <c r="Q5" i="19"/>
  <c r="C178" i="19"/>
  <c r="A208" i="19" s="1"/>
  <c r="T6" i="19"/>
  <c r="T7" i="19"/>
  <c r="G187" i="19"/>
  <c r="Q187" i="19" s="1"/>
  <c r="Q11" i="19"/>
  <c r="C189" i="19"/>
  <c r="C234" i="19" s="1"/>
  <c r="T13" i="19"/>
  <c r="G189" i="19"/>
  <c r="Q13" i="19"/>
  <c r="T48" i="19"/>
  <c r="Q48" i="19"/>
  <c r="Q79" i="19" s="1"/>
  <c r="R48" i="19"/>
  <c r="R79" i="19" s="1"/>
  <c r="T35" i="19"/>
  <c r="Q35" i="19"/>
  <c r="K142" i="19"/>
  <c r="R142" i="19" s="1"/>
  <c r="R35" i="19"/>
  <c r="T36" i="19"/>
  <c r="G143" i="19"/>
  <c r="Q36" i="19"/>
  <c r="K143" i="19"/>
  <c r="R36" i="19"/>
  <c r="C144" i="19"/>
  <c r="T37" i="19"/>
  <c r="Q37" i="19"/>
  <c r="T41" i="19"/>
  <c r="Q41" i="19"/>
  <c r="T42" i="19"/>
  <c r="Q42" i="19"/>
  <c r="Q73" i="19" s="1"/>
  <c r="C150" i="19"/>
  <c r="T43" i="19"/>
  <c r="Q43" i="19"/>
  <c r="K150" i="19"/>
  <c r="R150" i="19" s="1"/>
  <c r="R43" i="19"/>
  <c r="R74" i="19" s="1"/>
  <c r="C154" i="19"/>
  <c r="T47" i="19"/>
  <c r="G154" i="19"/>
  <c r="Q47" i="19"/>
  <c r="Q78" i="19" s="1"/>
  <c r="K154" i="19"/>
  <c r="R47" i="19"/>
  <c r="R78" i="19" s="1"/>
  <c r="T49" i="19"/>
  <c r="G156" i="19"/>
  <c r="Q156" i="19" s="1"/>
  <c r="Q49" i="19"/>
  <c r="Q80" i="19" s="1"/>
  <c r="R49" i="19"/>
  <c r="R80" i="19" s="1"/>
  <c r="C112" i="19"/>
  <c r="C143" i="19"/>
  <c r="C117" i="19"/>
  <c r="C148" i="19"/>
  <c r="G118" i="19"/>
  <c r="G149" i="19"/>
  <c r="Q149" i="19" s="1"/>
  <c r="F111" i="19"/>
  <c r="F142" i="19"/>
  <c r="F160" i="19" s="1"/>
  <c r="J111" i="19"/>
  <c r="J142" i="19"/>
  <c r="F112" i="19"/>
  <c r="F143" i="19"/>
  <c r="J112" i="19"/>
  <c r="J143" i="19"/>
  <c r="N112" i="19"/>
  <c r="N143" i="19"/>
  <c r="N162" i="19"/>
  <c r="J117" i="19"/>
  <c r="J148" i="19"/>
  <c r="N117" i="19"/>
  <c r="N148" i="19"/>
  <c r="F118" i="19"/>
  <c r="F149" i="19"/>
  <c r="J118" i="19"/>
  <c r="J149" i="19"/>
  <c r="C124" i="19"/>
  <c r="C155" i="19"/>
  <c r="G124" i="19"/>
  <c r="G155" i="19"/>
  <c r="K124" i="19"/>
  <c r="K155" i="19"/>
  <c r="G111" i="19"/>
  <c r="G142" i="19"/>
  <c r="Q142" i="19" s="1"/>
  <c r="G113" i="19"/>
  <c r="G144" i="19"/>
  <c r="Q144" i="19" s="1"/>
  <c r="G117" i="19"/>
  <c r="Q117" i="19" s="1"/>
  <c r="G148" i="19"/>
  <c r="Q148" i="19" s="1"/>
  <c r="C118" i="19"/>
  <c r="C149" i="19"/>
  <c r="K118" i="19"/>
  <c r="K149" i="19"/>
  <c r="G119" i="19"/>
  <c r="G150" i="19"/>
  <c r="Q150" i="19" s="1"/>
  <c r="L124" i="19"/>
  <c r="L155" i="19"/>
  <c r="I125" i="19"/>
  <c r="I156" i="19"/>
  <c r="H112" i="19"/>
  <c r="H143" i="19"/>
  <c r="L112" i="19"/>
  <c r="L143" i="19"/>
  <c r="D113" i="19"/>
  <c r="D144" i="19"/>
  <c r="L113" i="19"/>
  <c r="L144" i="19"/>
  <c r="L162" i="19" s="1"/>
  <c r="D118" i="19"/>
  <c r="D149" i="19"/>
  <c r="D161" i="19" s="1"/>
  <c r="H118" i="19"/>
  <c r="H149" i="19"/>
  <c r="L118" i="19"/>
  <c r="L149" i="19"/>
  <c r="D119" i="19"/>
  <c r="D150" i="19"/>
  <c r="H119" i="19"/>
  <c r="H150" i="19"/>
  <c r="H162" i="19" s="1"/>
  <c r="D123" i="19"/>
  <c r="D154" i="19"/>
  <c r="D160" i="19" s="1"/>
  <c r="H123" i="19"/>
  <c r="H154" i="19"/>
  <c r="H160" i="19" s="1"/>
  <c r="L123" i="19"/>
  <c r="L154" i="19"/>
  <c r="L160" i="19" s="1"/>
  <c r="I124" i="19"/>
  <c r="I155" i="19"/>
  <c r="I161" i="19" s="1"/>
  <c r="N124" i="19"/>
  <c r="N155" i="19"/>
  <c r="F125" i="19"/>
  <c r="F156" i="19"/>
  <c r="F162" i="19" s="1"/>
  <c r="J125" i="19"/>
  <c r="J156" i="19"/>
  <c r="J162" i="19" s="1"/>
  <c r="C111" i="19"/>
  <c r="C142" i="19"/>
  <c r="K113" i="19"/>
  <c r="R113" i="19" s="1"/>
  <c r="K144" i="19"/>
  <c r="R144" i="19" s="1"/>
  <c r="K117" i="19"/>
  <c r="K148" i="19"/>
  <c r="H124" i="19"/>
  <c r="H155" i="19"/>
  <c r="E111" i="19"/>
  <c r="E142" i="19"/>
  <c r="E161" i="19"/>
  <c r="E113" i="19"/>
  <c r="E144" i="19"/>
  <c r="I113" i="19"/>
  <c r="I144" i="19"/>
  <c r="M113" i="19"/>
  <c r="M144" i="19"/>
  <c r="E117" i="19"/>
  <c r="E148" i="19"/>
  <c r="I117" i="19"/>
  <c r="I148" i="19"/>
  <c r="I160" i="19" s="1"/>
  <c r="E119" i="19"/>
  <c r="E150" i="19"/>
  <c r="I119" i="19"/>
  <c r="I150" i="19"/>
  <c r="M119" i="19"/>
  <c r="M150" i="19"/>
  <c r="E123" i="19"/>
  <c r="E154" i="19"/>
  <c r="N123" i="19"/>
  <c r="N154" i="19"/>
  <c r="C125" i="19"/>
  <c r="C156" i="19"/>
  <c r="K125" i="19"/>
  <c r="K156" i="19"/>
  <c r="R156" i="19" s="1"/>
  <c r="I111" i="19"/>
  <c r="M111" i="19"/>
  <c r="E112" i="19"/>
  <c r="I112" i="19"/>
  <c r="M112" i="19"/>
  <c r="M117" i="19"/>
  <c r="E118" i="19"/>
  <c r="I118" i="19"/>
  <c r="M118" i="19"/>
  <c r="I78" i="19"/>
  <c r="I123" i="19"/>
  <c r="F124" i="19"/>
  <c r="J208" i="19"/>
  <c r="J239" i="19" s="1"/>
  <c r="J124" i="19"/>
  <c r="G80" i="19"/>
  <c r="G125" i="19"/>
  <c r="N111" i="19"/>
  <c r="F113" i="19"/>
  <c r="J113" i="19"/>
  <c r="N113" i="19"/>
  <c r="F117" i="19"/>
  <c r="N118" i="19"/>
  <c r="F119" i="19"/>
  <c r="J119" i="19"/>
  <c r="N119" i="19"/>
  <c r="F207" i="19"/>
  <c r="F238" i="19" s="1"/>
  <c r="F123" i="19"/>
  <c r="J123" i="19"/>
  <c r="D80" i="19"/>
  <c r="D125" i="19"/>
  <c r="H209" i="19"/>
  <c r="H240" i="19" s="1"/>
  <c r="H125" i="19"/>
  <c r="L209" i="19"/>
  <c r="L240" i="19" s="1"/>
  <c r="L125" i="19"/>
  <c r="K111" i="19"/>
  <c r="G112" i="19"/>
  <c r="K112" i="19"/>
  <c r="C113" i="19"/>
  <c r="C119" i="19"/>
  <c r="K119" i="19"/>
  <c r="C207" i="19"/>
  <c r="C123" i="19"/>
  <c r="G123" i="19"/>
  <c r="Q123" i="19" s="1"/>
  <c r="K78" i="19"/>
  <c r="K123" i="19"/>
  <c r="D124" i="19"/>
  <c r="E80" i="19"/>
  <c r="E125" i="19"/>
  <c r="N80" i="19"/>
  <c r="N125" i="19"/>
  <c r="D111" i="19"/>
  <c r="H111" i="19"/>
  <c r="L111" i="19"/>
  <c r="D112" i="19"/>
  <c r="H113" i="19"/>
  <c r="D117" i="19"/>
  <c r="H117" i="19"/>
  <c r="L117" i="19"/>
  <c r="L119" i="19"/>
  <c r="E79" i="19"/>
  <c r="E124" i="19"/>
  <c r="J207" i="19"/>
  <c r="J238" i="19" s="1"/>
  <c r="J22" i="19"/>
  <c r="F24" i="19"/>
  <c r="F178" i="19"/>
  <c r="J24" i="19"/>
  <c r="J178" i="19"/>
  <c r="N24" i="19"/>
  <c r="N178" i="19"/>
  <c r="J25" i="19"/>
  <c r="J179" i="19"/>
  <c r="J187" i="19"/>
  <c r="J232" i="19" s="1"/>
  <c r="F188" i="19"/>
  <c r="F233" i="19" s="1"/>
  <c r="J188" i="19"/>
  <c r="J233" i="19" s="1"/>
  <c r="N188" i="19"/>
  <c r="N233" i="19" s="1"/>
  <c r="F189" i="19"/>
  <c r="F234" i="19" s="1"/>
  <c r="J189" i="19"/>
  <c r="J234" i="19" s="1"/>
  <c r="N189" i="19"/>
  <c r="N234" i="19" s="1"/>
  <c r="C23" i="19"/>
  <c r="C177" i="19"/>
  <c r="C25" i="19"/>
  <c r="C179" i="19"/>
  <c r="G25" i="19"/>
  <c r="G179" i="19"/>
  <c r="K25" i="19"/>
  <c r="K179" i="19"/>
  <c r="R179" i="19" s="1"/>
  <c r="K188" i="19"/>
  <c r="R188" i="19" s="1"/>
  <c r="K189" i="19"/>
  <c r="G68" i="19"/>
  <c r="K72" i="19"/>
  <c r="E22" i="19"/>
  <c r="D22" i="19"/>
  <c r="H22" i="19"/>
  <c r="L22" i="19"/>
  <c r="D178" i="19"/>
  <c r="H24" i="19"/>
  <c r="H178" i="19"/>
  <c r="H227" i="19" s="1"/>
  <c r="L178" i="19"/>
  <c r="L227" i="19" s="1"/>
  <c r="L67" i="19"/>
  <c r="L23" i="19"/>
  <c r="E66" i="19"/>
  <c r="I68" i="19"/>
  <c r="M24" i="19"/>
  <c r="F67" i="19"/>
  <c r="J67" i="19"/>
  <c r="E74" i="19"/>
  <c r="I73" i="19"/>
  <c r="L233" i="19"/>
  <c r="F54" i="19"/>
  <c r="H53" i="19"/>
  <c r="J74" i="19"/>
  <c r="D234" i="19"/>
  <c r="H234" i="19"/>
  <c r="L208" i="19"/>
  <c r="L239" i="19" s="1"/>
  <c r="N55" i="19"/>
  <c r="C78" i="19"/>
  <c r="I80" i="19"/>
  <c r="J78" i="19"/>
  <c r="D209" i="19"/>
  <c r="D240" i="19" s="1"/>
  <c r="D55" i="19"/>
  <c r="F208" i="19"/>
  <c r="F239" i="19" s="1"/>
  <c r="F74" i="19"/>
  <c r="E234" i="19"/>
  <c r="I234" i="19"/>
  <c r="M234" i="19"/>
  <c r="M73" i="19"/>
  <c r="K74" i="19"/>
  <c r="G54" i="19"/>
  <c r="K67" i="19"/>
  <c r="E226" i="19"/>
  <c r="M68" i="19"/>
  <c r="D53" i="19"/>
  <c r="E55" i="19"/>
  <c r="L53" i="19"/>
  <c r="I55" i="19"/>
  <c r="I66" i="19"/>
  <c r="C66" i="19"/>
  <c r="G23" i="19"/>
  <c r="K23" i="19"/>
  <c r="F68" i="19"/>
  <c r="F25" i="19"/>
  <c r="J68" i="19"/>
  <c r="N68" i="19"/>
  <c r="N25" i="19"/>
  <c r="D233" i="19"/>
  <c r="D24" i="19"/>
  <c r="H73" i="19"/>
  <c r="H233" i="19"/>
  <c r="E67" i="19"/>
  <c r="E24" i="19"/>
  <c r="I67" i="19"/>
  <c r="I24" i="19"/>
  <c r="M67" i="19"/>
  <c r="F23" i="19"/>
  <c r="N232" i="19"/>
  <c r="N23" i="19"/>
  <c r="I22" i="19"/>
  <c r="M22" i="19"/>
  <c r="E72" i="19"/>
  <c r="E53" i="19"/>
  <c r="I72" i="19"/>
  <c r="E207" i="19"/>
  <c r="E238" i="19" s="1"/>
  <c r="N207" i="19"/>
  <c r="N238" i="19" s="1"/>
  <c r="F209" i="19"/>
  <c r="F240" i="19" s="1"/>
  <c r="F80" i="19"/>
  <c r="F55" i="19"/>
  <c r="J209" i="19"/>
  <c r="J240" i="19" s="1"/>
  <c r="J80" i="19"/>
  <c r="N66" i="19"/>
  <c r="F22" i="19"/>
  <c r="N22" i="19"/>
  <c r="C53" i="19"/>
  <c r="G53" i="19"/>
  <c r="G66" i="19"/>
  <c r="J72" i="19"/>
  <c r="C208" i="19"/>
  <c r="C79" i="19"/>
  <c r="K208" i="19"/>
  <c r="C209" i="19"/>
  <c r="K209" i="19"/>
  <c r="K80" i="19"/>
  <c r="N53" i="19"/>
  <c r="J55" i="19"/>
  <c r="M72" i="19"/>
  <c r="E232" i="19"/>
  <c r="C22" i="19"/>
  <c r="G22" i="19"/>
  <c r="K22" i="19"/>
  <c r="C24" i="19"/>
  <c r="C67" i="19"/>
  <c r="G24" i="19"/>
  <c r="K24" i="19"/>
  <c r="D25" i="19"/>
  <c r="H25" i="19"/>
  <c r="L25" i="19"/>
  <c r="C54" i="19"/>
  <c r="G73" i="19"/>
  <c r="K73" i="19"/>
  <c r="I74" i="19"/>
  <c r="M74" i="19"/>
  <c r="D79" i="19"/>
  <c r="H208" i="19"/>
  <c r="H239" i="19" s="1"/>
  <c r="H79" i="19"/>
  <c r="I53" i="19"/>
  <c r="K54" i="19"/>
  <c r="F72" i="19"/>
  <c r="C73" i="19"/>
  <c r="N78" i="19"/>
  <c r="K79" i="19"/>
  <c r="C80" i="19"/>
  <c r="D208" i="19"/>
  <c r="D239" i="19" s="1"/>
  <c r="F53" i="19"/>
  <c r="F66" i="19"/>
  <c r="J53" i="19"/>
  <c r="I207" i="19"/>
  <c r="I238" i="19" s="1"/>
  <c r="M53" i="19"/>
  <c r="D23" i="19"/>
  <c r="H23" i="19"/>
  <c r="K53" i="19"/>
  <c r="K66" i="19"/>
  <c r="N72" i="19"/>
  <c r="G208" i="19"/>
  <c r="G209" i="19"/>
  <c r="E78" i="19"/>
  <c r="G79" i="19"/>
  <c r="E25" i="19"/>
  <c r="E68" i="19"/>
  <c r="I25" i="19"/>
  <c r="M25" i="19"/>
  <c r="J23" i="19"/>
  <c r="L24" i="19"/>
  <c r="D67" i="19"/>
  <c r="D54" i="19"/>
  <c r="H67" i="19"/>
  <c r="H54" i="19"/>
  <c r="C55" i="19"/>
  <c r="G55" i="19"/>
  <c r="K55" i="19"/>
  <c r="K68" i="19"/>
  <c r="L73" i="19"/>
  <c r="L54" i="19"/>
  <c r="J66" i="19"/>
  <c r="G67" i="19"/>
  <c r="C68" i="19"/>
  <c r="G72" i="19"/>
  <c r="D73" i="19"/>
  <c r="L79" i="19"/>
  <c r="N67" i="19"/>
  <c r="D68" i="19"/>
  <c r="H68" i="19"/>
  <c r="L68" i="19"/>
  <c r="E208" i="19"/>
  <c r="E239" i="19" s="1"/>
  <c r="I208" i="19"/>
  <c r="I239" i="19" s="1"/>
  <c r="N208" i="19"/>
  <c r="N239" i="19" s="1"/>
  <c r="N79" i="19"/>
  <c r="N54" i="19"/>
  <c r="L55" i="19"/>
  <c r="C72" i="19"/>
  <c r="E73" i="19"/>
  <c r="G74" i="19"/>
  <c r="F78" i="19"/>
  <c r="E23" i="19"/>
  <c r="I23" i="19"/>
  <c r="M23" i="19"/>
  <c r="F73" i="19"/>
  <c r="J73" i="19"/>
  <c r="N73" i="19"/>
  <c r="D74" i="19"/>
  <c r="H74" i="19"/>
  <c r="L74" i="19"/>
  <c r="G207" i="19"/>
  <c r="Q207" i="19" s="1"/>
  <c r="K207" i="19"/>
  <c r="E209" i="19"/>
  <c r="E240" i="19" s="1"/>
  <c r="N209" i="19"/>
  <c r="N240" i="19" s="1"/>
  <c r="J54" i="19"/>
  <c r="H55" i="19"/>
  <c r="M55" i="19"/>
  <c r="M66" i="19"/>
  <c r="C74" i="19"/>
  <c r="N74" i="19"/>
  <c r="G78" i="19"/>
  <c r="I79" i="19"/>
  <c r="I209" i="19"/>
  <c r="I240" i="19" s="1"/>
  <c r="D207" i="19"/>
  <c r="D238" i="19" s="1"/>
  <c r="H207" i="19"/>
  <c r="H238" i="19" s="1"/>
  <c r="L207" i="19"/>
  <c r="L238" i="19" s="1"/>
  <c r="E54" i="19"/>
  <c r="I54" i="19"/>
  <c r="M54" i="19"/>
  <c r="D66" i="19"/>
  <c r="H66" i="19"/>
  <c r="L66" i="19"/>
  <c r="D72" i="19"/>
  <c r="H72" i="19"/>
  <c r="L72" i="19"/>
  <c r="D78" i="19"/>
  <c r="H78" i="19"/>
  <c r="L78" i="19"/>
  <c r="F79" i="19"/>
  <c r="J79" i="19"/>
  <c r="H80" i="19"/>
  <c r="L80" i="19"/>
  <c r="F133" i="20" l="1"/>
  <c r="F127" i="20"/>
  <c r="F134" i="20"/>
  <c r="F128" i="20"/>
  <c r="F135" i="20"/>
  <c r="F129" i="20"/>
  <c r="W214" i="23"/>
  <c r="F122" i="20" s="1"/>
  <c r="W215" i="23"/>
  <c r="F123" i="20" s="1"/>
  <c r="T218" i="23"/>
  <c r="W213" i="23"/>
  <c r="F121" i="20" s="1"/>
  <c r="T220" i="23"/>
  <c r="T219" i="23"/>
  <c r="Q209" i="19"/>
  <c r="K272" i="19"/>
  <c r="K260" i="19"/>
  <c r="J270" i="19"/>
  <c r="J258" i="19"/>
  <c r="N270" i="19"/>
  <c r="N258" i="19"/>
  <c r="F272" i="19"/>
  <c r="F260" i="19"/>
  <c r="M271" i="19"/>
  <c r="M259" i="19"/>
  <c r="L272" i="19"/>
  <c r="L260" i="19"/>
  <c r="L271" i="19"/>
  <c r="L259" i="19"/>
  <c r="D259" i="19"/>
  <c r="D271" i="19"/>
  <c r="F271" i="19"/>
  <c r="F259" i="19"/>
  <c r="I271" i="19"/>
  <c r="I259" i="19"/>
  <c r="N271" i="19"/>
  <c r="N259" i="19"/>
  <c r="N277" i="19" s="1"/>
  <c r="C272" i="19"/>
  <c r="C260" i="19"/>
  <c r="M270" i="19"/>
  <c r="M258" i="19"/>
  <c r="F270" i="19"/>
  <c r="F258" i="19"/>
  <c r="I270" i="19"/>
  <c r="I258" i="19"/>
  <c r="C271" i="19"/>
  <c r="C259" i="19"/>
  <c r="C258" i="19"/>
  <c r="C270" i="19"/>
  <c r="E270" i="19"/>
  <c r="E258" i="19"/>
  <c r="D258" i="19"/>
  <c r="D270" i="19"/>
  <c r="G271" i="19"/>
  <c r="G259" i="19"/>
  <c r="D272" i="19"/>
  <c r="D260" i="19"/>
  <c r="L258" i="19"/>
  <c r="L270" i="19"/>
  <c r="H270" i="19"/>
  <c r="H258" i="19"/>
  <c r="M260" i="19"/>
  <c r="M272" i="19"/>
  <c r="G272" i="19"/>
  <c r="G260" i="19"/>
  <c r="K259" i="19"/>
  <c r="K271" i="19"/>
  <c r="G270" i="19"/>
  <c r="Q270" i="19" s="1"/>
  <c r="G258" i="19"/>
  <c r="E260" i="19"/>
  <c r="E272" i="19"/>
  <c r="H272" i="19"/>
  <c r="H260" i="19"/>
  <c r="E271" i="19"/>
  <c r="E259" i="19"/>
  <c r="J271" i="19"/>
  <c r="J259" i="19"/>
  <c r="H271" i="19"/>
  <c r="H259" i="19"/>
  <c r="K270" i="19"/>
  <c r="K258" i="19"/>
  <c r="K276" i="19" s="1"/>
  <c r="J272" i="19"/>
  <c r="J260" i="19"/>
  <c r="I260" i="19"/>
  <c r="I272" i="19"/>
  <c r="N272" i="19"/>
  <c r="N260" i="19"/>
  <c r="R177" i="19"/>
  <c r="Q208" i="19"/>
  <c r="N98" i="19"/>
  <c r="N104" i="19" s="1"/>
  <c r="I97" i="19"/>
  <c r="I103" i="19" s="1"/>
  <c r="D97" i="19"/>
  <c r="D103" i="19" s="1"/>
  <c r="D99" i="19"/>
  <c r="D105" i="19" s="1"/>
  <c r="N97" i="19"/>
  <c r="N103" i="19" s="1"/>
  <c r="F99" i="19"/>
  <c r="F105" i="19" s="1"/>
  <c r="L97" i="19"/>
  <c r="L103" i="19" s="1"/>
  <c r="H97" i="19"/>
  <c r="H103" i="19" s="1"/>
  <c r="M98" i="19"/>
  <c r="M104" i="19" s="1"/>
  <c r="L99" i="19"/>
  <c r="L105" i="19" s="1"/>
  <c r="E99" i="19"/>
  <c r="E105" i="19" s="1"/>
  <c r="J98" i="19"/>
  <c r="J104" i="19" s="1"/>
  <c r="H98" i="19"/>
  <c r="H104" i="19" s="1"/>
  <c r="I99" i="19"/>
  <c r="I105" i="19" s="1"/>
  <c r="N99" i="19"/>
  <c r="N105" i="19" s="1"/>
  <c r="C218" i="21"/>
  <c r="V213" i="21"/>
  <c r="J115" i="20" s="1"/>
  <c r="J105" i="20"/>
  <c r="U215" i="21"/>
  <c r="J111" i="20" s="1"/>
  <c r="J103" i="20"/>
  <c r="U213" i="21"/>
  <c r="J109" i="20" s="1"/>
  <c r="C219" i="21"/>
  <c r="J104" i="20"/>
  <c r="U214" i="21"/>
  <c r="J110" i="20" s="1"/>
  <c r="R209" i="19"/>
  <c r="O218" i="21"/>
  <c r="D218" i="21"/>
  <c r="I218" i="21"/>
  <c r="G218" i="21"/>
  <c r="K218" i="21"/>
  <c r="E218" i="21"/>
  <c r="R218" i="21"/>
  <c r="N218" i="21"/>
  <c r="Q218" i="21"/>
  <c r="L218" i="21"/>
  <c r="F218" i="21"/>
  <c r="J218" i="21"/>
  <c r="T244" i="21"/>
  <c r="U244" i="21" s="1"/>
  <c r="H218" i="21"/>
  <c r="M218" i="21"/>
  <c r="O220" i="21"/>
  <c r="K220" i="21"/>
  <c r="G220" i="21"/>
  <c r="H220" i="21"/>
  <c r="F220" i="21"/>
  <c r="M220" i="21"/>
  <c r="T246" i="21"/>
  <c r="U246" i="21" s="1"/>
  <c r="N220" i="21"/>
  <c r="J220" i="21"/>
  <c r="D220" i="21"/>
  <c r="I220" i="21"/>
  <c r="R220" i="21"/>
  <c r="Q220" i="21"/>
  <c r="E220" i="21"/>
  <c r="L220" i="21"/>
  <c r="C220" i="21"/>
  <c r="O219" i="21"/>
  <c r="K219" i="21"/>
  <c r="G219" i="21"/>
  <c r="M219" i="21"/>
  <c r="J219" i="21"/>
  <c r="N219" i="21"/>
  <c r="R219" i="21"/>
  <c r="I219" i="21"/>
  <c r="E219" i="21"/>
  <c r="F219" i="21"/>
  <c r="L219" i="21"/>
  <c r="Q219" i="21"/>
  <c r="D219" i="21"/>
  <c r="T245" i="21"/>
  <c r="U245" i="21" s="1"/>
  <c r="H219" i="21"/>
  <c r="L215" i="19"/>
  <c r="Q67" i="19"/>
  <c r="R189" i="19"/>
  <c r="Q179" i="19"/>
  <c r="A209" i="19"/>
  <c r="R123" i="19"/>
  <c r="R112" i="19"/>
  <c r="Q177" i="19"/>
  <c r="R187" i="19"/>
  <c r="T208" i="19"/>
  <c r="T239" i="19" s="1"/>
  <c r="R208" i="19"/>
  <c r="K232" i="19"/>
  <c r="Q55" i="19"/>
  <c r="R53" i="19"/>
  <c r="R55" i="19"/>
  <c r="T125" i="19"/>
  <c r="R155" i="19"/>
  <c r="R119" i="19"/>
  <c r="Q125" i="19"/>
  <c r="R124" i="19"/>
  <c r="T207" i="19"/>
  <c r="T238" i="19" s="1"/>
  <c r="T209" i="19"/>
  <c r="T240" i="19" s="1"/>
  <c r="R207" i="19"/>
  <c r="G232" i="19"/>
  <c r="A207" i="19"/>
  <c r="T179" i="19"/>
  <c r="T228" i="19" s="1"/>
  <c r="Q68" i="19"/>
  <c r="R66" i="19"/>
  <c r="T187" i="19"/>
  <c r="T232" i="19" s="1"/>
  <c r="T24" i="19"/>
  <c r="O29" i="19" s="1"/>
  <c r="T178" i="19"/>
  <c r="T227" i="19" s="1"/>
  <c r="R24" i="19"/>
  <c r="T25" i="19"/>
  <c r="Q189" i="19"/>
  <c r="Q24" i="19"/>
  <c r="Q22" i="19"/>
  <c r="T177" i="19"/>
  <c r="T226" i="19" s="1"/>
  <c r="Q72" i="19"/>
  <c r="Q66" i="19"/>
  <c r="Q188" i="19"/>
  <c r="Q23" i="19"/>
  <c r="T188" i="19"/>
  <c r="T233" i="19" s="1"/>
  <c r="R22" i="19"/>
  <c r="R25" i="19"/>
  <c r="Q74" i="19"/>
  <c r="R178" i="19"/>
  <c r="T22" i="19"/>
  <c r="I84" i="20" s="1"/>
  <c r="R23" i="19"/>
  <c r="Q25" i="19"/>
  <c r="T23" i="19"/>
  <c r="R67" i="19"/>
  <c r="T189" i="19"/>
  <c r="T234" i="19" s="1"/>
  <c r="Q178" i="19"/>
  <c r="R125" i="19"/>
  <c r="Q112" i="19"/>
  <c r="C97" i="19"/>
  <c r="C103" i="19" s="1"/>
  <c r="T53" i="19"/>
  <c r="O58" i="19" s="1"/>
  <c r="T119" i="19"/>
  <c r="R111" i="19"/>
  <c r="K160" i="19"/>
  <c r="R160" i="19" s="1"/>
  <c r="R148" i="19"/>
  <c r="T142" i="19"/>
  <c r="R149" i="19"/>
  <c r="Q155" i="19"/>
  <c r="Q118" i="19"/>
  <c r="T112" i="19"/>
  <c r="Q119" i="19"/>
  <c r="T118" i="19"/>
  <c r="Q113" i="19"/>
  <c r="T124" i="19"/>
  <c r="T143" i="19"/>
  <c r="Q154" i="19"/>
  <c r="R143" i="19"/>
  <c r="T55" i="19"/>
  <c r="O60" i="19" s="1"/>
  <c r="K98" i="19"/>
  <c r="K104" i="19" s="1"/>
  <c r="R54" i="19"/>
  <c r="G97" i="19"/>
  <c r="G103" i="19" s="1"/>
  <c r="Q53" i="19"/>
  <c r="G98" i="19"/>
  <c r="G104" i="19" s="1"/>
  <c r="Q54" i="19"/>
  <c r="T123" i="19"/>
  <c r="T113" i="19"/>
  <c r="C162" i="19"/>
  <c r="T156" i="19"/>
  <c r="R117" i="19"/>
  <c r="T111" i="19"/>
  <c r="R118" i="19"/>
  <c r="Q111" i="19"/>
  <c r="Q124" i="19"/>
  <c r="T148" i="19"/>
  <c r="R154" i="19"/>
  <c r="T154" i="19"/>
  <c r="T144" i="19"/>
  <c r="Q143" i="19"/>
  <c r="C98" i="19"/>
  <c r="C104" i="19" s="1"/>
  <c r="T54" i="19"/>
  <c r="O59" i="19" s="1"/>
  <c r="C238" i="19"/>
  <c r="T149" i="19"/>
  <c r="T155" i="19"/>
  <c r="T117" i="19"/>
  <c r="T150" i="19"/>
  <c r="G161" i="19"/>
  <c r="K162" i="19"/>
  <c r="R162" i="19" s="1"/>
  <c r="D131" i="19"/>
  <c r="M162" i="19"/>
  <c r="E162" i="19"/>
  <c r="D162" i="19"/>
  <c r="N161" i="19"/>
  <c r="F161" i="19"/>
  <c r="K161" i="19"/>
  <c r="C161" i="19"/>
  <c r="M131" i="19"/>
  <c r="N160" i="19"/>
  <c r="A23" i="19"/>
  <c r="A25" i="19"/>
  <c r="H161" i="19"/>
  <c r="I162" i="19"/>
  <c r="C160" i="19"/>
  <c r="J160" i="19"/>
  <c r="G160" i="19"/>
  <c r="E160" i="19"/>
  <c r="L161" i="19"/>
  <c r="G162" i="19"/>
  <c r="Q162" i="19" s="1"/>
  <c r="J161" i="19"/>
  <c r="K233" i="19"/>
  <c r="F85" i="19"/>
  <c r="D129" i="19"/>
  <c r="J130" i="19"/>
  <c r="J131" i="19"/>
  <c r="I131" i="19"/>
  <c r="N131" i="19"/>
  <c r="H131" i="19"/>
  <c r="I129" i="19"/>
  <c r="H129" i="19"/>
  <c r="L130" i="19"/>
  <c r="J129" i="19"/>
  <c r="D227" i="19"/>
  <c r="M130" i="19"/>
  <c r="L84" i="19"/>
  <c r="I130" i="19"/>
  <c r="F98" i="19"/>
  <c r="F104" i="19" s="1"/>
  <c r="F131" i="19"/>
  <c r="L129" i="19"/>
  <c r="E131" i="19"/>
  <c r="D86" i="19"/>
  <c r="L214" i="19"/>
  <c r="L245" i="19" s="1"/>
  <c r="E130" i="19"/>
  <c r="N86" i="19"/>
  <c r="W54" i="19"/>
  <c r="X54" i="19" s="1"/>
  <c r="D130" i="19"/>
  <c r="F129" i="19"/>
  <c r="N130" i="19"/>
  <c r="D84" i="19"/>
  <c r="K130" i="19"/>
  <c r="M129" i="19"/>
  <c r="E129" i="19"/>
  <c r="N227" i="19"/>
  <c r="N214" i="19"/>
  <c r="C233" i="19"/>
  <c r="E228" i="19"/>
  <c r="E215" i="19"/>
  <c r="J84" i="19"/>
  <c r="C240" i="19"/>
  <c r="E85" i="19"/>
  <c r="E98" i="19"/>
  <c r="E104" i="19" s="1"/>
  <c r="M86" i="19"/>
  <c r="M99" i="19"/>
  <c r="M105" i="19" s="1"/>
  <c r="G238" i="19"/>
  <c r="J227" i="19"/>
  <c r="J214" i="19"/>
  <c r="C130" i="19"/>
  <c r="W55" i="19"/>
  <c r="X55" i="19" s="1"/>
  <c r="G86" i="19"/>
  <c r="H130" i="19"/>
  <c r="F226" i="19"/>
  <c r="F213" i="19"/>
  <c r="G240" i="19"/>
  <c r="F84" i="19"/>
  <c r="H228" i="19"/>
  <c r="H215" i="19"/>
  <c r="C84" i="19"/>
  <c r="A53" i="19"/>
  <c r="K226" i="19"/>
  <c r="K213" i="19"/>
  <c r="H86" i="19"/>
  <c r="H99" i="19"/>
  <c r="H105" i="19" s="1"/>
  <c r="I232" i="19"/>
  <c r="I213" i="19"/>
  <c r="F227" i="19"/>
  <c r="F214" i="19"/>
  <c r="L131" i="19"/>
  <c r="N85" i="19"/>
  <c r="L226" i="19"/>
  <c r="L213" i="19"/>
  <c r="K86" i="19"/>
  <c r="D214" i="19"/>
  <c r="K129" i="19"/>
  <c r="H213" i="19"/>
  <c r="H226" i="19"/>
  <c r="A54" i="19"/>
  <c r="C85" i="19"/>
  <c r="K214" i="19"/>
  <c r="K227" i="19"/>
  <c r="A24" i="19"/>
  <c r="K239" i="19"/>
  <c r="C129" i="19"/>
  <c r="F86" i="19"/>
  <c r="I227" i="19"/>
  <c r="I214" i="19"/>
  <c r="E227" i="19"/>
  <c r="E214" i="19"/>
  <c r="N215" i="19"/>
  <c r="N228" i="19"/>
  <c r="I85" i="19"/>
  <c r="I98" i="19"/>
  <c r="I104" i="19" s="1"/>
  <c r="K234" i="19"/>
  <c r="C86" i="19"/>
  <c r="A55" i="19"/>
  <c r="J226" i="19"/>
  <c r="J213" i="19"/>
  <c r="D226" i="19"/>
  <c r="D213" i="19"/>
  <c r="I84" i="19"/>
  <c r="G227" i="19"/>
  <c r="G214" i="19"/>
  <c r="J86" i="19"/>
  <c r="G84" i="19"/>
  <c r="W53" i="19"/>
  <c r="X53" i="19" s="1"/>
  <c r="J97" i="19"/>
  <c r="J103" i="19" s="1"/>
  <c r="M227" i="19"/>
  <c r="M214" i="19"/>
  <c r="G130" i="19"/>
  <c r="G234" i="19"/>
  <c r="K228" i="19"/>
  <c r="K215" i="19"/>
  <c r="F130" i="19"/>
  <c r="L86" i="19"/>
  <c r="I228" i="19"/>
  <c r="I215" i="19"/>
  <c r="G239" i="19"/>
  <c r="K97" i="19"/>
  <c r="K103" i="19" s="1"/>
  <c r="K84" i="19"/>
  <c r="I86" i="19"/>
  <c r="M232" i="19"/>
  <c r="M213" i="19"/>
  <c r="N129" i="19"/>
  <c r="N84" i="19"/>
  <c r="K240" i="19"/>
  <c r="G129" i="19"/>
  <c r="F97" i="19"/>
  <c r="F103" i="19" s="1"/>
  <c r="K131" i="19"/>
  <c r="C226" i="19"/>
  <c r="C213" i="19"/>
  <c r="G215" i="19"/>
  <c r="G228" i="19"/>
  <c r="C232" i="19"/>
  <c r="M85" i="19"/>
  <c r="J85" i="19"/>
  <c r="K238" i="19"/>
  <c r="C215" i="19"/>
  <c r="C228" i="19"/>
  <c r="E213" i="19"/>
  <c r="L85" i="19"/>
  <c r="G131" i="19"/>
  <c r="C131" i="19"/>
  <c r="H85" i="19"/>
  <c r="D85" i="19"/>
  <c r="D98" i="19"/>
  <c r="D104" i="19" s="1"/>
  <c r="M228" i="19"/>
  <c r="M215" i="19"/>
  <c r="E86" i="19"/>
  <c r="N226" i="19"/>
  <c r="N213" i="19"/>
  <c r="G99" i="19"/>
  <c r="G105" i="19" s="1"/>
  <c r="H84" i="19"/>
  <c r="M97" i="19"/>
  <c r="M103" i="19" s="1"/>
  <c r="M84" i="19"/>
  <c r="L98" i="19"/>
  <c r="L104" i="19" s="1"/>
  <c r="K85" i="19"/>
  <c r="L228" i="19"/>
  <c r="D228" i="19"/>
  <c r="D215" i="19"/>
  <c r="C227" i="19"/>
  <c r="C214" i="19"/>
  <c r="A22" i="19"/>
  <c r="K99" i="19"/>
  <c r="K105" i="19" s="1"/>
  <c r="C239" i="19"/>
  <c r="H214" i="19"/>
  <c r="J99" i="19"/>
  <c r="J105" i="19" s="1"/>
  <c r="E84" i="19"/>
  <c r="E97" i="19"/>
  <c r="E103" i="19" s="1"/>
  <c r="C99" i="19"/>
  <c r="C105" i="19" s="1"/>
  <c r="J228" i="19"/>
  <c r="J215" i="19"/>
  <c r="F215" i="19"/>
  <c r="F228" i="19"/>
  <c r="G226" i="19"/>
  <c r="G213" i="19"/>
  <c r="G85" i="19"/>
  <c r="M276" i="19" l="1"/>
  <c r="M277" i="19"/>
  <c r="J277" i="19"/>
  <c r="H278" i="19"/>
  <c r="H276" i="19"/>
  <c r="D278" i="19"/>
  <c r="I276" i="19"/>
  <c r="F277" i="19"/>
  <c r="N276" i="19"/>
  <c r="K278" i="19"/>
  <c r="E60" i="19"/>
  <c r="Q271" i="19"/>
  <c r="R271" i="19"/>
  <c r="N278" i="19"/>
  <c r="J278" i="19"/>
  <c r="H277" i="19"/>
  <c r="E277" i="19"/>
  <c r="E276" i="19"/>
  <c r="F276" i="19"/>
  <c r="I277" i="19"/>
  <c r="F278" i="19"/>
  <c r="J276" i="19"/>
  <c r="Q259" i="19"/>
  <c r="G277" i="19"/>
  <c r="Q277" i="19" s="1"/>
  <c r="T259" i="19"/>
  <c r="C277" i="19"/>
  <c r="K277" i="19"/>
  <c r="T271" i="19"/>
  <c r="R84" i="19"/>
  <c r="Q258" i="19"/>
  <c r="G276" i="19"/>
  <c r="Q260" i="19"/>
  <c r="G278" i="19"/>
  <c r="T270" i="19"/>
  <c r="R259" i="19"/>
  <c r="L277" i="19"/>
  <c r="T260" i="19"/>
  <c r="C278" i="19"/>
  <c r="R260" i="19"/>
  <c r="L278" i="19"/>
  <c r="E278" i="19"/>
  <c r="M278" i="19"/>
  <c r="R258" i="19"/>
  <c r="L276" i="19"/>
  <c r="R276" i="19" s="1"/>
  <c r="T272" i="19"/>
  <c r="D277" i="19"/>
  <c r="I278" i="19"/>
  <c r="R270" i="19"/>
  <c r="Q272" i="19"/>
  <c r="D276" i="19"/>
  <c r="C276" i="19"/>
  <c r="T258" i="19"/>
  <c r="R272" i="19"/>
  <c r="W215" i="21"/>
  <c r="J123" i="20" s="1"/>
  <c r="W213" i="21"/>
  <c r="J121" i="20" s="1"/>
  <c r="W214" i="21"/>
  <c r="J122" i="20" s="1"/>
  <c r="R30" i="19"/>
  <c r="J129" i="20"/>
  <c r="V246" i="21"/>
  <c r="J135" i="20" s="1"/>
  <c r="T218" i="21"/>
  <c r="J128" i="20"/>
  <c r="V245" i="21"/>
  <c r="J134" i="20" s="1"/>
  <c r="V244" i="21"/>
  <c r="J133" i="20" s="1"/>
  <c r="J127" i="20"/>
  <c r="T219" i="21"/>
  <c r="T220" i="21"/>
  <c r="Q214" i="19"/>
  <c r="Q49" i="17"/>
  <c r="Q80" i="17" s="1"/>
  <c r="R58" i="19"/>
  <c r="R130" i="19"/>
  <c r="Q130" i="19"/>
  <c r="Q131" i="19"/>
  <c r="Q86" i="19"/>
  <c r="R131" i="19"/>
  <c r="Q160" i="19"/>
  <c r="Q213" i="19"/>
  <c r="Q215" i="19"/>
  <c r="R213" i="19"/>
  <c r="T214" i="19"/>
  <c r="R86" i="19"/>
  <c r="R28" i="19"/>
  <c r="O28" i="19"/>
  <c r="Q27" i="19"/>
  <c r="R215" i="19"/>
  <c r="R27" i="19"/>
  <c r="O27" i="19"/>
  <c r="Q30" i="19"/>
  <c r="O30" i="19"/>
  <c r="T215" i="19"/>
  <c r="T213" i="19"/>
  <c r="R214" i="19"/>
  <c r="Q28" i="19"/>
  <c r="Q29" i="19"/>
  <c r="R29" i="19"/>
  <c r="R48" i="17"/>
  <c r="R79" i="17" s="1"/>
  <c r="Q129" i="19"/>
  <c r="T160" i="19"/>
  <c r="O165" i="19" s="1"/>
  <c r="T49" i="17"/>
  <c r="R49" i="17"/>
  <c r="R80" i="17" s="1"/>
  <c r="T131" i="19"/>
  <c r="O136" i="19" s="1"/>
  <c r="T130" i="19"/>
  <c r="O135" i="19" s="1"/>
  <c r="T161" i="19"/>
  <c r="O166" i="19" s="1"/>
  <c r="R85" i="19"/>
  <c r="R59" i="19"/>
  <c r="T48" i="17"/>
  <c r="Q48" i="17"/>
  <c r="Q79" i="17" s="1"/>
  <c r="T129" i="19"/>
  <c r="O134" i="19" s="1"/>
  <c r="R161" i="19"/>
  <c r="Q161" i="19"/>
  <c r="Q84" i="19"/>
  <c r="Q58" i="19"/>
  <c r="T35" i="17"/>
  <c r="Q35" i="17"/>
  <c r="R35" i="17"/>
  <c r="T36" i="17"/>
  <c r="Q36" i="17"/>
  <c r="R36" i="17"/>
  <c r="T37" i="17"/>
  <c r="Q37" i="17"/>
  <c r="R37" i="17"/>
  <c r="T41" i="17"/>
  <c r="Q41" i="17"/>
  <c r="R41" i="17"/>
  <c r="T42" i="17"/>
  <c r="Q42" i="17"/>
  <c r="R42" i="17"/>
  <c r="T43" i="17"/>
  <c r="Q43" i="17"/>
  <c r="R43" i="17"/>
  <c r="T47" i="17"/>
  <c r="Q47" i="17"/>
  <c r="Q78" i="17" s="1"/>
  <c r="R47" i="17"/>
  <c r="R78" i="17" s="1"/>
  <c r="R129" i="19"/>
  <c r="T162" i="19"/>
  <c r="O167" i="19" s="1"/>
  <c r="Q85" i="19"/>
  <c r="Q59" i="19"/>
  <c r="Q60" i="19"/>
  <c r="R60" i="19"/>
  <c r="I59" i="19"/>
  <c r="I92" i="20"/>
  <c r="N58" i="19"/>
  <c r="I91" i="20"/>
  <c r="G60" i="19"/>
  <c r="I93" i="20"/>
  <c r="E111" i="17"/>
  <c r="E142" i="17"/>
  <c r="I111" i="17"/>
  <c r="I142" i="17"/>
  <c r="M111" i="17"/>
  <c r="M142" i="17"/>
  <c r="E112" i="17"/>
  <c r="E143" i="17"/>
  <c r="I112" i="17"/>
  <c r="I143" i="17"/>
  <c r="M112" i="17"/>
  <c r="M143" i="17"/>
  <c r="E113" i="17"/>
  <c r="E144" i="17"/>
  <c r="I113" i="17"/>
  <c r="I144" i="17"/>
  <c r="M113" i="17"/>
  <c r="M144" i="17"/>
  <c r="E117" i="17"/>
  <c r="E148" i="17"/>
  <c r="I117" i="17"/>
  <c r="I148" i="17"/>
  <c r="M117" i="17"/>
  <c r="M148" i="17"/>
  <c r="E118" i="17"/>
  <c r="E149" i="17"/>
  <c r="I118" i="17"/>
  <c r="I149" i="17"/>
  <c r="M118" i="17"/>
  <c r="M149" i="17"/>
  <c r="E119" i="17"/>
  <c r="E150" i="17"/>
  <c r="I119" i="17"/>
  <c r="I150" i="17"/>
  <c r="M119" i="17"/>
  <c r="M150" i="17"/>
  <c r="E123" i="17"/>
  <c r="E154" i="17"/>
  <c r="I123" i="17"/>
  <c r="I154" i="17"/>
  <c r="N123" i="17"/>
  <c r="N154" i="17"/>
  <c r="F124" i="17"/>
  <c r="F155" i="17"/>
  <c r="J124" i="17"/>
  <c r="J155" i="17"/>
  <c r="C125" i="17"/>
  <c r="C156" i="17"/>
  <c r="G125" i="17"/>
  <c r="G156" i="17"/>
  <c r="K125" i="17"/>
  <c r="K156" i="17"/>
  <c r="D111" i="17"/>
  <c r="D142" i="17"/>
  <c r="H111" i="17"/>
  <c r="H142" i="17"/>
  <c r="L111" i="17"/>
  <c r="L142" i="17"/>
  <c r="D112" i="17"/>
  <c r="D143" i="17"/>
  <c r="H112" i="17"/>
  <c r="H143" i="17"/>
  <c r="L112" i="17"/>
  <c r="L143" i="17"/>
  <c r="D113" i="17"/>
  <c r="D144" i="17"/>
  <c r="H113" i="17"/>
  <c r="H144" i="17"/>
  <c r="L113" i="17"/>
  <c r="L144" i="17"/>
  <c r="D117" i="17"/>
  <c r="D148" i="17"/>
  <c r="H117" i="17"/>
  <c r="H148" i="17"/>
  <c r="L117" i="17"/>
  <c r="L148" i="17"/>
  <c r="D118" i="17"/>
  <c r="D149" i="17"/>
  <c r="H118" i="17"/>
  <c r="H149" i="17"/>
  <c r="L118" i="17"/>
  <c r="L149" i="17"/>
  <c r="D119" i="17"/>
  <c r="D150" i="17"/>
  <c r="H119" i="17"/>
  <c r="H150" i="17"/>
  <c r="L119" i="17"/>
  <c r="L150" i="17"/>
  <c r="D123" i="17"/>
  <c r="D154" i="17"/>
  <c r="H123" i="17"/>
  <c r="H154" i="17"/>
  <c r="L123" i="17"/>
  <c r="L154" i="17"/>
  <c r="E124" i="17"/>
  <c r="E155" i="17"/>
  <c r="I124" i="17"/>
  <c r="I155" i="17"/>
  <c r="N124" i="17"/>
  <c r="N155" i="17"/>
  <c r="F125" i="17"/>
  <c r="F156" i="17"/>
  <c r="J125" i="17"/>
  <c r="J156" i="17"/>
  <c r="F111" i="17"/>
  <c r="F142" i="17"/>
  <c r="J111" i="17"/>
  <c r="J142" i="17"/>
  <c r="N111" i="17"/>
  <c r="N142" i="17"/>
  <c r="F112" i="17"/>
  <c r="F143" i="17"/>
  <c r="J112" i="17"/>
  <c r="J143" i="17"/>
  <c r="N112" i="17"/>
  <c r="N143" i="17"/>
  <c r="F113" i="17"/>
  <c r="F144" i="17"/>
  <c r="J113" i="17"/>
  <c r="J144" i="17"/>
  <c r="N113" i="17"/>
  <c r="N144" i="17"/>
  <c r="F117" i="17"/>
  <c r="F148" i="17"/>
  <c r="J117" i="17"/>
  <c r="J148" i="17"/>
  <c r="N117" i="17"/>
  <c r="N148" i="17"/>
  <c r="F118" i="17"/>
  <c r="F149" i="17"/>
  <c r="J118" i="17"/>
  <c r="J149" i="17"/>
  <c r="N118" i="17"/>
  <c r="N149" i="17"/>
  <c r="F119" i="17"/>
  <c r="F150" i="17"/>
  <c r="J119" i="17"/>
  <c r="J150" i="17"/>
  <c r="N119" i="17"/>
  <c r="N150" i="17"/>
  <c r="F123" i="17"/>
  <c r="F154" i="17"/>
  <c r="J123" i="17"/>
  <c r="J154" i="17"/>
  <c r="C124" i="17"/>
  <c r="C155" i="17"/>
  <c r="G124" i="17"/>
  <c r="G155" i="17"/>
  <c r="Q155" i="17" s="1"/>
  <c r="K124" i="17"/>
  <c r="K155" i="17"/>
  <c r="D125" i="17"/>
  <c r="D156" i="17"/>
  <c r="H125" i="17"/>
  <c r="H156" i="17"/>
  <c r="L125" i="17"/>
  <c r="L156" i="17"/>
  <c r="C111" i="17"/>
  <c r="C142" i="17"/>
  <c r="G111" i="17"/>
  <c r="G142" i="17"/>
  <c r="K111" i="17"/>
  <c r="R111" i="17" s="1"/>
  <c r="K142" i="17"/>
  <c r="R142" i="17" s="1"/>
  <c r="C112" i="17"/>
  <c r="C143" i="17"/>
  <c r="G112" i="17"/>
  <c r="G143" i="17"/>
  <c r="K112" i="17"/>
  <c r="R112" i="17" s="1"/>
  <c r="K143" i="17"/>
  <c r="R143" i="17" s="1"/>
  <c r="C113" i="17"/>
  <c r="C144" i="17"/>
  <c r="G113" i="17"/>
  <c r="G144" i="17"/>
  <c r="K113" i="17"/>
  <c r="R113" i="17" s="1"/>
  <c r="K144" i="17"/>
  <c r="R144" i="17" s="1"/>
  <c r="C117" i="17"/>
  <c r="C148" i="17"/>
  <c r="G117" i="17"/>
  <c r="G148" i="17"/>
  <c r="K117" i="17"/>
  <c r="R117" i="17" s="1"/>
  <c r="K148" i="17"/>
  <c r="R148" i="17" s="1"/>
  <c r="C118" i="17"/>
  <c r="C149" i="17"/>
  <c r="G118" i="17"/>
  <c r="G149" i="17"/>
  <c r="K118" i="17"/>
  <c r="R118" i="17" s="1"/>
  <c r="K149" i="17"/>
  <c r="R149" i="17" s="1"/>
  <c r="C119" i="17"/>
  <c r="C150" i="17"/>
  <c r="G119" i="17"/>
  <c r="G150" i="17"/>
  <c r="K119" i="17"/>
  <c r="R119" i="17" s="1"/>
  <c r="K150" i="17"/>
  <c r="R150" i="17" s="1"/>
  <c r="C123" i="17"/>
  <c r="C154" i="17"/>
  <c r="G123" i="17"/>
  <c r="G154" i="17"/>
  <c r="K123" i="17"/>
  <c r="R123" i="17" s="1"/>
  <c r="K154" i="17"/>
  <c r="R154" i="17" s="1"/>
  <c r="D124" i="17"/>
  <c r="D155" i="17"/>
  <c r="H124" i="17"/>
  <c r="H155" i="17"/>
  <c r="L124" i="17"/>
  <c r="L155" i="17"/>
  <c r="E125" i="17"/>
  <c r="E156" i="17"/>
  <c r="I125" i="17"/>
  <c r="I156" i="17"/>
  <c r="N125" i="17"/>
  <c r="N156" i="17"/>
  <c r="J60" i="19"/>
  <c r="K58" i="19"/>
  <c r="I99" i="20"/>
  <c r="C29" i="19"/>
  <c r="I86" i="20"/>
  <c r="I28" i="19"/>
  <c r="I85" i="20"/>
  <c r="H30" i="19"/>
  <c r="I87" i="20"/>
  <c r="H28" i="19"/>
  <c r="I30" i="19"/>
  <c r="G29" i="19"/>
  <c r="D28" i="19"/>
  <c r="K28" i="19"/>
  <c r="F28" i="19"/>
  <c r="N28" i="19"/>
  <c r="D59" i="19"/>
  <c r="J59" i="19"/>
  <c r="M58" i="19"/>
  <c r="E58" i="19"/>
  <c r="E30" i="19"/>
  <c r="K29" i="19"/>
  <c r="M28" i="19"/>
  <c r="E29" i="19"/>
  <c r="L27" i="19"/>
  <c r="J27" i="19"/>
  <c r="H27" i="19"/>
  <c r="E27" i="19"/>
  <c r="D27" i="19"/>
  <c r="C30" i="19"/>
  <c r="K30" i="19"/>
  <c r="J30" i="19"/>
  <c r="G30" i="19"/>
  <c r="F59" i="19"/>
  <c r="G59" i="19"/>
  <c r="D245" i="19"/>
  <c r="I244" i="19"/>
  <c r="H60" i="19"/>
  <c r="H246" i="19"/>
  <c r="E246" i="19"/>
  <c r="F246" i="19"/>
  <c r="D246" i="19"/>
  <c r="K59" i="19"/>
  <c r="M246" i="19"/>
  <c r="L59" i="19"/>
  <c r="C244" i="19"/>
  <c r="L60" i="19"/>
  <c r="M245" i="19"/>
  <c r="G245" i="19"/>
  <c r="D244" i="19"/>
  <c r="C60" i="19"/>
  <c r="E245" i="19"/>
  <c r="J29" i="19"/>
  <c r="N29" i="19"/>
  <c r="M29" i="19"/>
  <c r="F29" i="19"/>
  <c r="H29" i="19"/>
  <c r="K245" i="19"/>
  <c r="M30" i="19"/>
  <c r="K60" i="19"/>
  <c r="I29" i="19"/>
  <c r="L58" i="19"/>
  <c r="D58" i="19"/>
  <c r="H58" i="19"/>
  <c r="F58" i="19"/>
  <c r="G244" i="19"/>
  <c r="J246" i="19"/>
  <c r="H245" i="19"/>
  <c r="C27" i="19"/>
  <c r="H59" i="19"/>
  <c r="M59" i="19"/>
  <c r="G246" i="19"/>
  <c r="F30" i="19"/>
  <c r="G27" i="19"/>
  <c r="K246" i="19"/>
  <c r="G58" i="19"/>
  <c r="I58" i="19"/>
  <c r="J244" i="19"/>
  <c r="J28" i="19"/>
  <c r="G28" i="19"/>
  <c r="N246" i="19"/>
  <c r="D30" i="19"/>
  <c r="H244" i="19"/>
  <c r="L29" i="19"/>
  <c r="L244" i="19"/>
  <c r="N59" i="19"/>
  <c r="F245" i="19"/>
  <c r="E28" i="19"/>
  <c r="I27" i="19"/>
  <c r="C58" i="19"/>
  <c r="N30" i="19"/>
  <c r="J58" i="19"/>
  <c r="E244" i="19"/>
  <c r="N60" i="19"/>
  <c r="I60" i="19"/>
  <c r="D60" i="19"/>
  <c r="F60" i="19"/>
  <c r="F244" i="19"/>
  <c r="J245" i="19"/>
  <c r="N244" i="19"/>
  <c r="N27" i="19"/>
  <c r="C245" i="19"/>
  <c r="L246" i="19"/>
  <c r="C246" i="19"/>
  <c r="F27" i="19"/>
  <c r="M244" i="19"/>
  <c r="I246" i="19"/>
  <c r="C28" i="19"/>
  <c r="L28" i="19"/>
  <c r="I97" i="20"/>
  <c r="D29" i="19"/>
  <c r="I245" i="19"/>
  <c r="M27" i="19"/>
  <c r="K27" i="19"/>
  <c r="L30" i="19"/>
  <c r="C59" i="19"/>
  <c r="K244" i="19"/>
  <c r="M60" i="19"/>
  <c r="E59" i="19"/>
  <c r="N245" i="19"/>
  <c r="I98" i="20"/>
  <c r="H91" i="5"/>
  <c r="N93" i="5"/>
  <c r="M93" i="5"/>
  <c r="L93" i="5"/>
  <c r="K93" i="5"/>
  <c r="J93" i="5"/>
  <c r="I93" i="5"/>
  <c r="H93" i="5"/>
  <c r="G93" i="5"/>
  <c r="F93" i="5"/>
  <c r="E93" i="5"/>
  <c r="D93" i="5"/>
  <c r="C93" i="5"/>
  <c r="N92" i="5"/>
  <c r="M92" i="5"/>
  <c r="L92" i="5"/>
  <c r="K92" i="5"/>
  <c r="J92" i="5"/>
  <c r="I92" i="5"/>
  <c r="H92" i="5"/>
  <c r="G92" i="5"/>
  <c r="F92" i="5"/>
  <c r="E92" i="5"/>
  <c r="D92" i="5"/>
  <c r="C92" i="5"/>
  <c r="N91" i="5"/>
  <c r="M91" i="5"/>
  <c r="L91" i="5"/>
  <c r="K91" i="5"/>
  <c r="J91" i="5"/>
  <c r="I91" i="5"/>
  <c r="G91" i="5"/>
  <c r="F91" i="5"/>
  <c r="E91" i="5"/>
  <c r="D91" i="5"/>
  <c r="C91" i="5"/>
  <c r="N90" i="5"/>
  <c r="M90" i="5"/>
  <c r="L90" i="5"/>
  <c r="K90" i="5"/>
  <c r="J90" i="5"/>
  <c r="I90" i="5"/>
  <c r="H90" i="5"/>
  <c r="G90" i="5"/>
  <c r="F90" i="5"/>
  <c r="E90" i="5"/>
  <c r="D90" i="5"/>
  <c r="C90" i="5"/>
  <c r="R278" i="19" l="1"/>
  <c r="Q276" i="19"/>
  <c r="Q278" i="19"/>
  <c r="T277" i="19"/>
  <c r="T276" i="19"/>
  <c r="I151" i="20" s="1"/>
  <c r="T278" i="19"/>
  <c r="I153" i="20" s="1"/>
  <c r="R277" i="19"/>
  <c r="I152" i="20"/>
  <c r="O220" i="19"/>
  <c r="V215" i="19"/>
  <c r="I117" i="20" s="1"/>
  <c r="O218" i="19"/>
  <c r="V213" i="19"/>
  <c r="O219" i="19"/>
  <c r="V214" i="19"/>
  <c r="Q124" i="17"/>
  <c r="Q154" i="17"/>
  <c r="Q149" i="17"/>
  <c r="Q144" i="17"/>
  <c r="Q142" i="17"/>
  <c r="Q119" i="17"/>
  <c r="Q117" i="17"/>
  <c r="Q112" i="17"/>
  <c r="R124" i="17"/>
  <c r="T123" i="17"/>
  <c r="T113" i="17"/>
  <c r="T111" i="17"/>
  <c r="R166" i="19"/>
  <c r="Q167" i="19"/>
  <c r="R134" i="19"/>
  <c r="R165" i="19"/>
  <c r="R135" i="19"/>
  <c r="Q165" i="19"/>
  <c r="R219" i="19"/>
  <c r="Q219" i="19"/>
  <c r="R218" i="19"/>
  <c r="Q220" i="19"/>
  <c r="U215" i="19"/>
  <c r="I111" i="20" s="1"/>
  <c r="R220" i="19"/>
  <c r="Q218" i="19"/>
  <c r="I140" i="20"/>
  <c r="Q166" i="19"/>
  <c r="R167" i="19"/>
  <c r="T124" i="17"/>
  <c r="Q125" i="17"/>
  <c r="T150" i="17"/>
  <c r="R156" i="17"/>
  <c r="Q123" i="17"/>
  <c r="T119" i="17"/>
  <c r="Q118" i="17"/>
  <c r="T117" i="17"/>
  <c r="Q113" i="17"/>
  <c r="T112" i="17"/>
  <c r="Q111" i="17"/>
  <c r="R125" i="17"/>
  <c r="T125" i="17"/>
  <c r="T118" i="17"/>
  <c r="Q136" i="19"/>
  <c r="R136" i="19"/>
  <c r="T148" i="17"/>
  <c r="T143" i="17"/>
  <c r="T156" i="17"/>
  <c r="I141" i="20"/>
  <c r="T154" i="17"/>
  <c r="Q150" i="17"/>
  <c r="T149" i="17"/>
  <c r="Q148" i="17"/>
  <c r="T144" i="17"/>
  <c r="Q143" i="17"/>
  <c r="T142" i="17"/>
  <c r="R155" i="17"/>
  <c r="T155" i="17"/>
  <c r="Q156" i="17"/>
  <c r="Q134" i="19"/>
  <c r="Q135" i="19"/>
  <c r="T29" i="19"/>
  <c r="T59" i="19"/>
  <c r="T28" i="19"/>
  <c r="T27" i="19"/>
  <c r="T30" i="19"/>
  <c r="T58" i="19"/>
  <c r="T60" i="19"/>
  <c r="U213" i="19"/>
  <c r="I109" i="20" s="1"/>
  <c r="U214" i="19"/>
  <c r="I110" i="20" s="1"/>
  <c r="G162" i="17"/>
  <c r="K161" i="17"/>
  <c r="C161" i="17"/>
  <c r="J162" i="17"/>
  <c r="N161" i="17"/>
  <c r="F161" i="17"/>
  <c r="H162" i="17"/>
  <c r="M161" i="17"/>
  <c r="L161" i="17"/>
  <c r="H160" i="17"/>
  <c r="E161" i="17"/>
  <c r="I160" i="17"/>
  <c r="G160" i="17"/>
  <c r="J160" i="17"/>
  <c r="D161" i="17"/>
  <c r="I162" i="17"/>
  <c r="K162" i="17"/>
  <c r="C162" i="17"/>
  <c r="G161" i="17"/>
  <c r="K160" i="17"/>
  <c r="C160" i="17"/>
  <c r="N162" i="17"/>
  <c r="F162" i="17"/>
  <c r="J161" i="17"/>
  <c r="N160" i="17"/>
  <c r="F160" i="17"/>
  <c r="L162" i="17"/>
  <c r="D162" i="17"/>
  <c r="H161" i="17"/>
  <c r="L160" i="17"/>
  <c r="D160" i="17"/>
  <c r="M162" i="17"/>
  <c r="E162" i="17"/>
  <c r="I161" i="17"/>
  <c r="M160" i="17"/>
  <c r="E160" i="17"/>
  <c r="C166" i="19"/>
  <c r="I146" i="20"/>
  <c r="C134" i="19"/>
  <c r="I139" i="20"/>
  <c r="G167" i="19"/>
  <c r="I147" i="20"/>
  <c r="J165" i="19"/>
  <c r="I145" i="20"/>
  <c r="I220" i="19"/>
  <c r="I105" i="20"/>
  <c r="K218" i="19"/>
  <c r="I103" i="20"/>
  <c r="F219" i="19"/>
  <c r="I104" i="20"/>
  <c r="G134" i="19"/>
  <c r="M218" i="19"/>
  <c r="N134" i="19"/>
  <c r="K134" i="19"/>
  <c r="N219" i="19"/>
  <c r="E167" i="19"/>
  <c r="G165" i="19"/>
  <c r="I219" i="19"/>
  <c r="G219" i="19"/>
  <c r="C219" i="19"/>
  <c r="T246" i="19"/>
  <c r="U246" i="19" s="1"/>
  <c r="V246" i="19" s="1"/>
  <c r="D136" i="19"/>
  <c r="E136" i="19"/>
  <c r="H136" i="19"/>
  <c r="F136" i="19"/>
  <c r="M136" i="19"/>
  <c r="N136" i="19"/>
  <c r="J136" i="19"/>
  <c r="I136" i="19"/>
  <c r="K220" i="19"/>
  <c r="J135" i="19"/>
  <c r="I135" i="19"/>
  <c r="N135" i="19"/>
  <c r="K135" i="19"/>
  <c r="E135" i="19"/>
  <c r="M135" i="19"/>
  <c r="D135" i="19"/>
  <c r="L135" i="19"/>
  <c r="T244" i="19"/>
  <c r="U244" i="19" s="1"/>
  <c r="V244" i="19" s="1"/>
  <c r="H135" i="19"/>
  <c r="I218" i="19"/>
  <c r="C220" i="19"/>
  <c r="L220" i="19"/>
  <c r="F218" i="19"/>
  <c r="L218" i="19"/>
  <c r="N220" i="19"/>
  <c r="J166" i="19"/>
  <c r="M166" i="19"/>
  <c r="H166" i="19"/>
  <c r="F166" i="19"/>
  <c r="E166" i="19"/>
  <c r="D166" i="19"/>
  <c r="I166" i="19"/>
  <c r="K166" i="19"/>
  <c r="H219" i="19"/>
  <c r="G218" i="19"/>
  <c r="K219" i="19"/>
  <c r="D218" i="19"/>
  <c r="L165" i="19"/>
  <c r="M165" i="19"/>
  <c r="I165" i="19"/>
  <c r="F165" i="19"/>
  <c r="D165" i="19"/>
  <c r="E165" i="19"/>
  <c r="H165" i="19"/>
  <c r="M219" i="19"/>
  <c r="C218" i="19"/>
  <c r="M220" i="19"/>
  <c r="E220" i="19"/>
  <c r="H220" i="19"/>
  <c r="H218" i="19"/>
  <c r="N165" i="19"/>
  <c r="L166" i="19"/>
  <c r="G220" i="19"/>
  <c r="N166" i="19"/>
  <c r="I167" i="19"/>
  <c r="K167" i="19"/>
  <c r="M167" i="19"/>
  <c r="N167" i="19"/>
  <c r="D167" i="19"/>
  <c r="C167" i="19"/>
  <c r="J167" i="19"/>
  <c r="F167" i="19"/>
  <c r="L167" i="19"/>
  <c r="H167" i="19"/>
  <c r="C165" i="19"/>
  <c r="F220" i="19"/>
  <c r="L136" i="19"/>
  <c r="D220" i="19"/>
  <c r="T245" i="19"/>
  <c r="U245" i="19" s="1"/>
  <c r="V245" i="19" s="1"/>
  <c r="L219" i="19"/>
  <c r="F135" i="19"/>
  <c r="K136" i="19"/>
  <c r="C136" i="19"/>
  <c r="N218" i="19"/>
  <c r="J219" i="19"/>
  <c r="K165" i="19"/>
  <c r="E218" i="19"/>
  <c r="J218" i="19"/>
  <c r="G136" i="19"/>
  <c r="J220" i="19"/>
  <c r="C135" i="19"/>
  <c r="D134" i="19"/>
  <c r="H134" i="19"/>
  <c r="F134" i="19"/>
  <c r="L134" i="19"/>
  <c r="M134" i="19"/>
  <c r="J134" i="19"/>
  <c r="E134" i="19"/>
  <c r="I134" i="19"/>
  <c r="E219" i="19"/>
  <c r="G135" i="19"/>
  <c r="G166" i="19"/>
  <c r="D219" i="19"/>
  <c r="W213" i="19" l="1"/>
  <c r="I121" i="20" s="1"/>
  <c r="I115" i="20"/>
  <c r="W214" i="19"/>
  <c r="I122" i="20" s="1"/>
  <c r="I116" i="20"/>
  <c r="W215" i="19"/>
  <c r="I123" i="20" s="1"/>
  <c r="R160" i="17"/>
  <c r="Q161" i="17"/>
  <c r="T219" i="19"/>
  <c r="T218" i="19"/>
  <c r="T220" i="19"/>
  <c r="R161" i="17"/>
  <c r="T162" i="17"/>
  <c r="O167" i="17" s="1"/>
  <c r="T161" i="17"/>
  <c r="O166" i="17" s="1"/>
  <c r="T160" i="17"/>
  <c r="O165" i="17" s="1"/>
  <c r="R162" i="17"/>
  <c r="Q160" i="17"/>
  <c r="Q162" i="17"/>
  <c r="T167" i="19"/>
  <c r="T134" i="19"/>
  <c r="T135" i="19"/>
  <c r="T166" i="19"/>
  <c r="T136" i="19"/>
  <c r="T165" i="19"/>
  <c r="I133" i="20"/>
  <c r="I127" i="20"/>
  <c r="I135" i="20"/>
  <c r="I129" i="20"/>
  <c r="I134" i="20"/>
  <c r="I128" i="20"/>
  <c r="H90" i="15"/>
  <c r="M209" i="18"/>
  <c r="M240" i="18" s="1"/>
  <c r="M208" i="18"/>
  <c r="M239" i="18" s="1"/>
  <c r="M207" i="18"/>
  <c r="M238" i="18" s="1"/>
  <c r="N93" i="18"/>
  <c r="M93" i="18"/>
  <c r="L93" i="18"/>
  <c r="K93" i="18"/>
  <c r="J93" i="18"/>
  <c r="I93" i="18"/>
  <c r="H93" i="18"/>
  <c r="G93" i="18"/>
  <c r="F93" i="18"/>
  <c r="E93" i="18"/>
  <c r="D93" i="18"/>
  <c r="C93" i="18"/>
  <c r="N92" i="18"/>
  <c r="M92" i="18"/>
  <c r="L92" i="18"/>
  <c r="K92" i="18"/>
  <c r="J92" i="18"/>
  <c r="I92" i="18"/>
  <c r="H92" i="18"/>
  <c r="G92" i="18"/>
  <c r="F92" i="18"/>
  <c r="E92" i="18"/>
  <c r="D92" i="18"/>
  <c r="C92" i="18"/>
  <c r="N91" i="18"/>
  <c r="M91" i="18"/>
  <c r="L91" i="18"/>
  <c r="K91" i="18"/>
  <c r="J91" i="18"/>
  <c r="I91" i="18"/>
  <c r="H91" i="18"/>
  <c r="G91" i="18"/>
  <c r="F91" i="18"/>
  <c r="E91" i="18"/>
  <c r="D91" i="18"/>
  <c r="C91" i="18"/>
  <c r="N90" i="18"/>
  <c r="M90" i="18"/>
  <c r="L90" i="18"/>
  <c r="K90" i="18"/>
  <c r="J90" i="18"/>
  <c r="I90" i="18"/>
  <c r="H90" i="18"/>
  <c r="G90" i="18"/>
  <c r="F90" i="18"/>
  <c r="E90" i="18"/>
  <c r="D90" i="18"/>
  <c r="C90" i="18"/>
  <c r="M80" i="18"/>
  <c r="M79" i="18"/>
  <c r="M78" i="18"/>
  <c r="K156" i="18"/>
  <c r="J156" i="18"/>
  <c r="I156" i="18"/>
  <c r="G156" i="18"/>
  <c r="F156" i="18"/>
  <c r="E156" i="18"/>
  <c r="L155" i="18"/>
  <c r="K155" i="18"/>
  <c r="J155" i="18"/>
  <c r="I155" i="18"/>
  <c r="H155" i="18"/>
  <c r="G155" i="18"/>
  <c r="F155" i="18"/>
  <c r="E155" i="18"/>
  <c r="D155" i="18"/>
  <c r="C155" i="18"/>
  <c r="N154" i="18"/>
  <c r="J154" i="18"/>
  <c r="I154" i="18"/>
  <c r="D154" i="18"/>
  <c r="C154" i="18"/>
  <c r="N150" i="18"/>
  <c r="J150" i="18"/>
  <c r="F150" i="18"/>
  <c r="K149" i="18"/>
  <c r="I149" i="18"/>
  <c r="E149" i="18"/>
  <c r="M148" i="18"/>
  <c r="L148" i="18"/>
  <c r="H148" i="18"/>
  <c r="E148" i="18"/>
  <c r="D148" i="18"/>
  <c r="M144" i="18"/>
  <c r="I144" i="18"/>
  <c r="E144" i="18"/>
  <c r="M143" i="18"/>
  <c r="L143" i="18"/>
  <c r="H143" i="18"/>
  <c r="D143" i="18"/>
  <c r="M142" i="18"/>
  <c r="M160" i="18" s="1"/>
  <c r="K142" i="18"/>
  <c r="G142" i="18"/>
  <c r="E142" i="18"/>
  <c r="C142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N7" i="18"/>
  <c r="M7" i="18"/>
  <c r="L7" i="18"/>
  <c r="L179" i="18" s="1"/>
  <c r="K7" i="18"/>
  <c r="J7" i="18"/>
  <c r="I7" i="18"/>
  <c r="H7" i="18"/>
  <c r="H179" i="18" s="1"/>
  <c r="G7" i="18"/>
  <c r="F7" i="18"/>
  <c r="F179" i="18" s="1"/>
  <c r="E7" i="18"/>
  <c r="D7" i="18"/>
  <c r="D179" i="18" s="1"/>
  <c r="C7" i="18"/>
  <c r="N6" i="18"/>
  <c r="N178" i="18" s="1"/>
  <c r="M6" i="18"/>
  <c r="M178" i="18" s="1"/>
  <c r="L6" i="18"/>
  <c r="L178" i="18" s="1"/>
  <c r="K6" i="18"/>
  <c r="J6" i="18"/>
  <c r="J178" i="18" s="1"/>
  <c r="I6" i="18"/>
  <c r="H6" i="18"/>
  <c r="H178" i="18" s="1"/>
  <c r="G6" i="18"/>
  <c r="F6" i="18"/>
  <c r="F178" i="18" s="1"/>
  <c r="E6" i="18"/>
  <c r="E178" i="18" s="1"/>
  <c r="D6" i="18"/>
  <c r="C6" i="18"/>
  <c r="N5" i="18"/>
  <c r="N177" i="18" s="1"/>
  <c r="M5" i="18"/>
  <c r="M177" i="18" s="1"/>
  <c r="L5" i="18"/>
  <c r="L177" i="18" s="1"/>
  <c r="K5" i="18"/>
  <c r="J5" i="18"/>
  <c r="I5" i="18"/>
  <c r="I177" i="18" s="1"/>
  <c r="H5" i="18"/>
  <c r="H177" i="18" s="1"/>
  <c r="G5" i="18"/>
  <c r="F5" i="18"/>
  <c r="F177" i="18" s="1"/>
  <c r="E5" i="18"/>
  <c r="E177" i="18" s="1"/>
  <c r="D5" i="18"/>
  <c r="D177" i="18" s="1"/>
  <c r="C5" i="18"/>
  <c r="N4" i="18"/>
  <c r="M4" i="18"/>
  <c r="L4" i="18"/>
  <c r="K4" i="18"/>
  <c r="J4" i="18"/>
  <c r="I4" i="18"/>
  <c r="H4" i="18"/>
  <c r="G4" i="18"/>
  <c r="F4" i="18"/>
  <c r="E4" i="18"/>
  <c r="D4" i="18"/>
  <c r="C4" i="18"/>
  <c r="G264" i="18" l="1"/>
  <c r="G252" i="18"/>
  <c r="K265" i="18"/>
  <c r="K253" i="18"/>
  <c r="K266" i="18"/>
  <c r="K254" i="18"/>
  <c r="D252" i="18"/>
  <c r="D264" i="18"/>
  <c r="H252" i="18"/>
  <c r="H264" i="18"/>
  <c r="L252" i="18"/>
  <c r="L264" i="18"/>
  <c r="D253" i="18"/>
  <c r="D265" i="18"/>
  <c r="H253" i="18"/>
  <c r="H265" i="18"/>
  <c r="L265" i="18"/>
  <c r="L253" i="18"/>
  <c r="D254" i="18"/>
  <c r="D266" i="18"/>
  <c r="H254" i="18"/>
  <c r="H266" i="18"/>
  <c r="L266" i="18"/>
  <c r="L254" i="18"/>
  <c r="C253" i="18"/>
  <c r="C265" i="18"/>
  <c r="G266" i="18"/>
  <c r="G254" i="18"/>
  <c r="E252" i="18"/>
  <c r="E264" i="18"/>
  <c r="I252" i="18"/>
  <c r="I264" i="18"/>
  <c r="M252" i="18"/>
  <c r="M264" i="18"/>
  <c r="E253" i="18"/>
  <c r="E265" i="18"/>
  <c r="I265" i="18"/>
  <c r="I253" i="18"/>
  <c r="M253" i="18"/>
  <c r="M265" i="18"/>
  <c r="E254" i="18"/>
  <c r="E266" i="18"/>
  <c r="I266" i="18"/>
  <c r="I254" i="18"/>
  <c r="M266" i="18"/>
  <c r="M254" i="18"/>
  <c r="C252" i="18"/>
  <c r="C264" i="18"/>
  <c r="K264" i="18"/>
  <c r="K252" i="18"/>
  <c r="G253" i="18"/>
  <c r="G265" i="18"/>
  <c r="C254" i="18"/>
  <c r="C266" i="18"/>
  <c r="F252" i="18"/>
  <c r="F264" i="18"/>
  <c r="J252" i="18"/>
  <c r="J264" i="18"/>
  <c r="N252" i="18"/>
  <c r="N264" i="18"/>
  <c r="F253" i="18"/>
  <c r="F265" i="18"/>
  <c r="J253" i="18"/>
  <c r="J265" i="18"/>
  <c r="N265" i="18"/>
  <c r="N253" i="18"/>
  <c r="F254" i="18"/>
  <c r="F266" i="18"/>
  <c r="J254" i="18"/>
  <c r="J266" i="18"/>
  <c r="N266" i="18"/>
  <c r="N254" i="18"/>
  <c r="L187" i="18"/>
  <c r="L232" i="18" s="1"/>
  <c r="L188" i="18"/>
  <c r="L233" i="18" s="1"/>
  <c r="H189" i="18"/>
  <c r="H234" i="18" s="1"/>
  <c r="E187" i="18"/>
  <c r="E232" i="18" s="1"/>
  <c r="I187" i="18"/>
  <c r="I232" i="18" s="1"/>
  <c r="M187" i="18"/>
  <c r="M232" i="18" s="1"/>
  <c r="E188" i="18"/>
  <c r="E233" i="18" s="1"/>
  <c r="E189" i="18"/>
  <c r="E234" i="18" s="1"/>
  <c r="D187" i="18"/>
  <c r="D232" i="18" s="1"/>
  <c r="D188" i="18"/>
  <c r="D233" i="18" s="1"/>
  <c r="D189" i="18"/>
  <c r="D234" i="18" s="1"/>
  <c r="F187" i="18"/>
  <c r="F232" i="18" s="1"/>
  <c r="J187" i="18"/>
  <c r="J232" i="18" s="1"/>
  <c r="N187" i="18"/>
  <c r="N232" i="18" s="1"/>
  <c r="F188" i="18"/>
  <c r="F233" i="18" s="1"/>
  <c r="J188" i="18"/>
  <c r="J233" i="18" s="1"/>
  <c r="N188" i="18"/>
  <c r="N233" i="18" s="1"/>
  <c r="F189" i="18"/>
  <c r="F234" i="18" s="1"/>
  <c r="J189" i="18"/>
  <c r="J234" i="18" s="1"/>
  <c r="N189" i="18"/>
  <c r="N234" i="18" s="1"/>
  <c r="H187" i="18"/>
  <c r="H232" i="18" s="1"/>
  <c r="H188" i="18"/>
  <c r="H233" i="18" s="1"/>
  <c r="L189" i="18"/>
  <c r="L234" i="18" s="1"/>
  <c r="Q167" i="17"/>
  <c r="R155" i="18"/>
  <c r="T4" i="18"/>
  <c r="Q4" i="18"/>
  <c r="R4" i="18"/>
  <c r="T6" i="18"/>
  <c r="T10" i="18"/>
  <c r="Q10" i="18"/>
  <c r="R10" i="18"/>
  <c r="C177" i="18"/>
  <c r="T5" i="18"/>
  <c r="G177" i="18"/>
  <c r="Q177" i="18" s="1"/>
  <c r="Q5" i="18"/>
  <c r="Q66" i="18" s="1"/>
  <c r="K177" i="18"/>
  <c r="R177" i="18" s="1"/>
  <c r="R5" i="18"/>
  <c r="R66" i="18" s="1"/>
  <c r="G178" i="18"/>
  <c r="Q178" i="18" s="1"/>
  <c r="Q6" i="18"/>
  <c r="Q67" i="18" s="1"/>
  <c r="K178" i="18"/>
  <c r="R178" i="18" s="1"/>
  <c r="R6" i="18"/>
  <c r="R67" i="18" s="1"/>
  <c r="C179" i="18"/>
  <c r="T7" i="18"/>
  <c r="G179" i="18"/>
  <c r="Q7" i="18"/>
  <c r="Q68" i="18" s="1"/>
  <c r="K179" i="18"/>
  <c r="R179" i="18" s="1"/>
  <c r="R7" i="18"/>
  <c r="R68" i="18" s="1"/>
  <c r="C187" i="18"/>
  <c r="C232" i="18" s="1"/>
  <c r="T11" i="18"/>
  <c r="G187" i="18"/>
  <c r="Q11" i="18"/>
  <c r="Q72" i="18" s="1"/>
  <c r="K187" i="18"/>
  <c r="R11" i="18"/>
  <c r="R72" i="18" s="1"/>
  <c r="C188" i="18"/>
  <c r="T12" i="18"/>
  <c r="G188" i="18"/>
  <c r="Q12" i="18"/>
  <c r="Q73" i="18" s="1"/>
  <c r="K188" i="18"/>
  <c r="R12" i="18"/>
  <c r="R73" i="18" s="1"/>
  <c r="C189" i="18"/>
  <c r="T13" i="18"/>
  <c r="G189" i="18"/>
  <c r="Q13" i="18"/>
  <c r="Q74" i="18" s="1"/>
  <c r="K189" i="18"/>
  <c r="R13" i="18"/>
  <c r="R74" i="18" s="1"/>
  <c r="Q165" i="17"/>
  <c r="R167" i="17"/>
  <c r="R165" i="17"/>
  <c r="Q166" i="17"/>
  <c r="R166" i="17"/>
  <c r="D111" i="18"/>
  <c r="D142" i="18"/>
  <c r="D160" i="18" s="1"/>
  <c r="L111" i="18"/>
  <c r="L142" i="18"/>
  <c r="R142" i="18" s="1"/>
  <c r="H113" i="18"/>
  <c r="H144" i="18"/>
  <c r="L118" i="18"/>
  <c r="L149" i="18"/>
  <c r="L161" i="18" s="1"/>
  <c r="D119" i="18"/>
  <c r="D150" i="18"/>
  <c r="L119" i="18"/>
  <c r="L150" i="18"/>
  <c r="H123" i="18"/>
  <c r="H154" i="18"/>
  <c r="L123" i="18"/>
  <c r="L154" i="18"/>
  <c r="N124" i="18"/>
  <c r="N155" i="18"/>
  <c r="Q155" i="18" s="1"/>
  <c r="C112" i="18"/>
  <c r="C143" i="18"/>
  <c r="G112" i="18"/>
  <c r="G143" i="18"/>
  <c r="K112" i="18"/>
  <c r="K143" i="18"/>
  <c r="C113" i="18"/>
  <c r="C144" i="18"/>
  <c r="G113" i="18"/>
  <c r="G144" i="18"/>
  <c r="K113" i="18"/>
  <c r="K144" i="18"/>
  <c r="C117" i="18"/>
  <c r="C148" i="18"/>
  <c r="G117" i="18"/>
  <c r="G148" i="18"/>
  <c r="K117" i="18"/>
  <c r="K148" i="18"/>
  <c r="R148" i="18" s="1"/>
  <c r="C118" i="18"/>
  <c r="C149" i="18"/>
  <c r="G118" i="18"/>
  <c r="G149" i="18"/>
  <c r="C119" i="18"/>
  <c r="C150" i="18"/>
  <c r="G119" i="18"/>
  <c r="G150" i="18"/>
  <c r="Q150" i="18" s="1"/>
  <c r="K119" i="18"/>
  <c r="K150" i="18"/>
  <c r="G123" i="18"/>
  <c r="G154" i="18"/>
  <c r="Q154" i="18" s="1"/>
  <c r="K123" i="18"/>
  <c r="K154" i="18"/>
  <c r="N125" i="18"/>
  <c r="N156" i="18"/>
  <c r="Q156" i="18" s="1"/>
  <c r="H111" i="18"/>
  <c r="H142" i="18"/>
  <c r="L113" i="18"/>
  <c r="L144" i="18"/>
  <c r="H118" i="18"/>
  <c r="H149" i="18"/>
  <c r="H161" i="18" s="1"/>
  <c r="I111" i="18"/>
  <c r="I142" i="18"/>
  <c r="E112" i="18"/>
  <c r="E143" i="18"/>
  <c r="E161" i="18" s="1"/>
  <c r="I112" i="18"/>
  <c r="I143" i="18"/>
  <c r="I161" i="18" s="1"/>
  <c r="I117" i="18"/>
  <c r="I148" i="18"/>
  <c r="M118" i="18"/>
  <c r="M149" i="18"/>
  <c r="M161" i="18" s="1"/>
  <c r="E119" i="18"/>
  <c r="E150" i="18"/>
  <c r="E162" i="18" s="1"/>
  <c r="I119" i="18"/>
  <c r="I150" i="18"/>
  <c r="I162" i="18" s="1"/>
  <c r="M119" i="18"/>
  <c r="M150" i="18"/>
  <c r="M162" i="18" s="1"/>
  <c r="E123" i="18"/>
  <c r="E154" i="18"/>
  <c r="E160" i="18" s="1"/>
  <c r="C125" i="18"/>
  <c r="C156" i="18"/>
  <c r="D113" i="18"/>
  <c r="D144" i="18"/>
  <c r="D118" i="18"/>
  <c r="D149" i="18"/>
  <c r="D161" i="18" s="1"/>
  <c r="H119" i="18"/>
  <c r="H150" i="18"/>
  <c r="F111" i="18"/>
  <c r="F142" i="18"/>
  <c r="J111" i="18"/>
  <c r="J142" i="18"/>
  <c r="N111" i="18"/>
  <c r="N142" i="18"/>
  <c r="Q142" i="18" s="1"/>
  <c r="F112" i="18"/>
  <c r="F143" i="18"/>
  <c r="J112" i="18"/>
  <c r="J143" i="18"/>
  <c r="N112" i="18"/>
  <c r="N143" i="18"/>
  <c r="F113" i="18"/>
  <c r="F144" i="18"/>
  <c r="F162" i="18" s="1"/>
  <c r="J113" i="18"/>
  <c r="J144" i="18"/>
  <c r="J162" i="18" s="1"/>
  <c r="N113" i="18"/>
  <c r="N144" i="18"/>
  <c r="F117" i="18"/>
  <c r="F148" i="18"/>
  <c r="J117" i="18"/>
  <c r="J148" i="18"/>
  <c r="N117" i="18"/>
  <c r="N148" i="18"/>
  <c r="F118" i="18"/>
  <c r="F149" i="18"/>
  <c r="J118" i="18"/>
  <c r="J149" i="18"/>
  <c r="N118" i="18"/>
  <c r="N149" i="18"/>
  <c r="F123" i="18"/>
  <c r="F154" i="18"/>
  <c r="D125" i="18"/>
  <c r="D156" i="18"/>
  <c r="H125" i="18"/>
  <c r="H156" i="18"/>
  <c r="L125" i="18"/>
  <c r="L156" i="18"/>
  <c r="R156" i="18" s="1"/>
  <c r="F119" i="18"/>
  <c r="J119" i="18"/>
  <c r="N119" i="18"/>
  <c r="J78" i="18"/>
  <c r="J123" i="18"/>
  <c r="C79" i="18"/>
  <c r="C124" i="18"/>
  <c r="G79" i="18"/>
  <c r="G124" i="18"/>
  <c r="K79" i="18"/>
  <c r="K124" i="18"/>
  <c r="C111" i="18"/>
  <c r="G111" i="18"/>
  <c r="K111" i="18"/>
  <c r="K118" i="18"/>
  <c r="C207" i="18"/>
  <c r="C123" i="18"/>
  <c r="D79" i="18"/>
  <c r="D124" i="18"/>
  <c r="H79" i="18"/>
  <c r="H124" i="18"/>
  <c r="L79" i="18"/>
  <c r="L124" i="18"/>
  <c r="E80" i="18"/>
  <c r="E125" i="18"/>
  <c r="I80" i="18"/>
  <c r="I125" i="18"/>
  <c r="D112" i="18"/>
  <c r="H112" i="18"/>
  <c r="L112" i="18"/>
  <c r="D117" i="18"/>
  <c r="H117" i="18"/>
  <c r="L117" i="18"/>
  <c r="D78" i="18"/>
  <c r="D123" i="18"/>
  <c r="E208" i="18"/>
  <c r="E239" i="18" s="1"/>
  <c r="E124" i="18"/>
  <c r="I124" i="18"/>
  <c r="F80" i="18"/>
  <c r="F125" i="18"/>
  <c r="J80" i="18"/>
  <c r="J125" i="18"/>
  <c r="E53" i="18"/>
  <c r="E111" i="18"/>
  <c r="M53" i="18"/>
  <c r="M111" i="18"/>
  <c r="M54" i="18"/>
  <c r="M112" i="18"/>
  <c r="E113" i="18"/>
  <c r="I113" i="18"/>
  <c r="M55" i="18"/>
  <c r="M113" i="18"/>
  <c r="E117" i="18"/>
  <c r="M117" i="18"/>
  <c r="E118" i="18"/>
  <c r="I118" i="18"/>
  <c r="I207" i="18"/>
  <c r="I238" i="18" s="1"/>
  <c r="I123" i="18"/>
  <c r="N78" i="18"/>
  <c r="N123" i="18"/>
  <c r="F208" i="18"/>
  <c r="F239" i="18" s="1"/>
  <c r="F124" i="18"/>
  <c r="J124" i="18"/>
  <c r="G209" i="18"/>
  <c r="G125" i="18"/>
  <c r="Q125" i="18" s="1"/>
  <c r="K125" i="18"/>
  <c r="C54" i="18"/>
  <c r="G54" i="18"/>
  <c r="K54" i="18"/>
  <c r="D24" i="18"/>
  <c r="D178" i="18"/>
  <c r="D227" i="18" s="1"/>
  <c r="N25" i="18"/>
  <c r="N179" i="18"/>
  <c r="N228" i="18" s="1"/>
  <c r="C22" i="18"/>
  <c r="G22" i="18"/>
  <c r="K22" i="18"/>
  <c r="I24" i="18"/>
  <c r="I178" i="18"/>
  <c r="I227" i="18" s="1"/>
  <c r="E25" i="18"/>
  <c r="E179" i="18"/>
  <c r="I25" i="18"/>
  <c r="I179" i="18"/>
  <c r="I228" i="18" s="1"/>
  <c r="M25" i="18"/>
  <c r="M179" i="18"/>
  <c r="M228" i="18" s="1"/>
  <c r="I188" i="18"/>
  <c r="I233" i="18" s="1"/>
  <c r="M188" i="18"/>
  <c r="M233" i="18" s="1"/>
  <c r="I189" i="18"/>
  <c r="I234" i="18" s="1"/>
  <c r="M189" i="18"/>
  <c r="M234" i="18" s="1"/>
  <c r="J23" i="18"/>
  <c r="J177" i="18"/>
  <c r="J179" i="18"/>
  <c r="J228" i="18" s="1"/>
  <c r="C24" i="18"/>
  <c r="C178" i="18"/>
  <c r="K24" i="18"/>
  <c r="H24" i="18"/>
  <c r="L24" i="18"/>
  <c r="F25" i="18"/>
  <c r="F68" i="18"/>
  <c r="F72" i="18"/>
  <c r="J72" i="18"/>
  <c r="N72" i="18"/>
  <c r="J66" i="18"/>
  <c r="N66" i="18"/>
  <c r="J25" i="18"/>
  <c r="D66" i="18"/>
  <c r="H66" i="18"/>
  <c r="L66" i="18"/>
  <c r="D73" i="18"/>
  <c r="H73" i="18"/>
  <c r="L73" i="18"/>
  <c r="E74" i="18"/>
  <c r="I74" i="18"/>
  <c r="M74" i="18"/>
  <c r="E54" i="18"/>
  <c r="K209" i="18"/>
  <c r="L53" i="18"/>
  <c r="D226" i="18"/>
  <c r="H226" i="18"/>
  <c r="L226" i="18"/>
  <c r="L227" i="18"/>
  <c r="H228" i="18"/>
  <c r="H67" i="18"/>
  <c r="D53" i="18"/>
  <c r="E68" i="18"/>
  <c r="M68" i="18"/>
  <c r="J208" i="18"/>
  <c r="J239" i="18" s="1"/>
  <c r="H55" i="18"/>
  <c r="D67" i="18"/>
  <c r="N68" i="18"/>
  <c r="J74" i="18"/>
  <c r="D207" i="18"/>
  <c r="D238" i="18" s="1"/>
  <c r="E55" i="18"/>
  <c r="I68" i="18"/>
  <c r="F55" i="18"/>
  <c r="H53" i="18"/>
  <c r="L67" i="18"/>
  <c r="J68" i="18"/>
  <c r="F74" i="18"/>
  <c r="N74" i="18"/>
  <c r="I208" i="18"/>
  <c r="I239" i="18" s="1"/>
  <c r="E22" i="18"/>
  <c r="J24" i="18"/>
  <c r="E23" i="18"/>
  <c r="M23" i="18"/>
  <c r="G55" i="18"/>
  <c r="G68" i="18"/>
  <c r="F53" i="18"/>
  <c r="D68" i="18"/>
  <c r="L68" i="18"/>
  <c r="F207" i="18"/>
  <c r="F238" i="18" s="1"/>
  <c r="N209" i="18"/>
  <c r="N240" i="18" s="1"/>
  <c r="E66" i="18"/>
  <c r="G67" i="18"/>
  <c r="E72" i="18"/>
  <c r="G73" i="18"/>
  <c r="N80" i="18"/>
  <c r="C25" i="18"/>
  <c r="G25" i="18"/>
  <c r="K25" i="18"/>
  <c r="I23" i="18"/>
  <c r="G24" i="18"/>
  <c r="F67" i="18"/>
  <c r="J67" i="18"/>
  <c r="N67" i="18"/>
  <c r="C74" i="18"/>
  <c r="G74" i="18"/>
  <c r="K74" i="18"/>
  <c r="C208" i="18"/>
  <c r="G208" i="18"/>
  <c r="K208" i="18"/>
  <c r="F209" i="18"/>
  <c r="F240" i="18" s="1"/>
  <c r="J209" i="18"/>
  <c r="J240" i="18" s="1"/>
  <c r="I55" i="18"/>
  <c r="F66" i="18"/>
  <c r="F78" i="18"/>
  <c r="I22" i="18"/>
  <c r="M22" i="18"/>
  <c r="F24" i="18"/>
  <c r="N24" i="18"/>
  <c r="C55" i="18"/>
  <c r="C68" i="18"/>
  <c r="K55" i="18"/>
  <c r="K68" i="18"/>
  <c r="F73" i="18"/>
  <c r="J73" i="18"/>
  <c r="N73" i="18"/>
  <c r="E207" i="18"/>
  <c r="E238" i="18" s="1"/>
  <c r="N207" i="18"/>
  <c r="N238" i="18" s="1"/>
  <c r="I53" i="18"/>
  <c r="H22" i="18"/>
  <c r="F23" i="18"/>
  <c r="N23" i="18"/>
  <c r="J53" i="18"/>
  <c r="N53" i="18"/>
  <c r="H68" i="18"/>
  <c r="J207" i="18"/>
  <c r="J238" i="18" s="1"/>
  <c r="I209" i="18"/>
  <c r="I240" i="18" s="1"/>
  <c r="J54" i="18"/>
  <c r="M66" i="18"/>
  <c r="M72" i="18"/>
  <c r="E78" i="18"/>
  <c r="D25" i="18"/>
  <c r="H25" i="18"/>
  <c r="L25" i="18"/>
  <c r="D22" i="18"/>
  <c r="L22" i="18"/>
  <c r="N55" i="18"/>
  <c r="D74" i="18"/>
  <c r="H74" i="18"/>
  <c r="L74" i="18"/>
  <c r="D208" i="18"/>
  <c r="D239" i="18" s="1"/>
  <c r="H208" i="18"/>
  <c r="H239" i="18" s="1"/>
  <c r="L208" i="18"/>
  <c r="L239" i="18" s="1"/>
  <c r="F54" i="18"/>
  <c r="N54" i="18"/>
  <c r="D55" i="18"/>
  <c r="L55" i="18"/>
  <c r="I66" i="18"/>
  <c r="C67" i="18"/>
  <c r="K67" i="18"/>
  <c r="I72" i="18"/>
  <c r="C73" i="18"/>
  <c r="K73" i="18"/>
  <c r="I78" i="18"/>
  <c r="E209" i="18"/>
  <c r="E240" i="18" s="1"/>
  <c r="H227" i="18"/>
  <c r="C23" i="18"/>
  <c r="G23" i="18"/>
  <c r="K23" i="18"/>
  <c r="E24" i="18"/>
  <c r="M24" i="18"/>
  <c r="G207" i="18"/>
  <c r="Q207" i="18" s="1"/>
  <c r="K207" i="18"/>
  <c r="N208" i="18"/>
  <c r="N239" i="18" s="1"/>
  <c r="C209" i="18"/>
  <c r="D54" i="18"/>
  <c r="H54" i="18"/>
  <c r="L54" i="18"/>
  <c r="J55" i="18"/>
  <c r="C66" i="18"/>
  <c r="G66" i="18"/>
  <c r="K66" i="18"/>
  <c r="E67" i="18"/>
  <c r="I67" i="18"/>
  <c r="M67" i="18"/>
  <c r="C72" i="18"/>
  <c r="G72" i="18"/>
  <c r="K72" i="18"/>
  <c r="E73" i="18"/>
  <c r="I73" i="18"/>
  <c r="M73" i="18"/>
  <c r="C78" i="18"/>
  <c r="G78" i="18"/>
  <c r="K78" i="18"/>
  <c r="E79" i="18"/>
  <c r="I79" i="18"/>
  <c r="C80" i="18"/>
  <c r="G80" i="18"/>
  <c r="K80" i="18"/>
  <c r="M227" i="18"/>
  <c r="F228" i="18"/>
  <c r="F22" i="18"/>
  <c r="J22" i="18"/>
  <c r="N22" i="18"/>
  <c r="D23" i="18"/>
  <c r="H23" i="18"/>
  <c r="L23" i="18"/>
  <c r="H207" i="18"/>
  <c r="H238" i="18" s="1"/>
  <c r="L207" i="18"/>
  <c r="L238" i="18" s="1"/>
  <c r="D209" i="18"/>
  <c r="D240" i="18" s="1"/>
  <c r="H209" i="18"/>
  <c r="H240" i="18" s="1"/>
  <c r="L209" i="18"/>
  <c r="L240" i="18" s="1"/>
  <c r="C53" i="18"/>
  <c r="G53" i="18"/>
  <c r="K53" i="18"/>
  <c r="I54" i="18"/>
  <c r="D72" i="18"/>
  <c r="H72" i="18"/>
  <c r="L72" i="18"/>
  <c r="H78" i="18"/>
  <c r="L78" i="18"/>
  <c r="F79" i="18"/>
  <c r="J79" i="18"/>
  <c r="N79" i="18"/>
  <c r="D80" i="18"/>
  <c r="H80" i="18"/>
  <c r="L80" i="18"/>
  <c r="R264" i="18" l="1"/>
  <c r="Q253" i="18"/>
  <c r="R252" i="18"/>
  <c r="R266" i="18"/>
  <c r="Q264" i="18"/>
  <c r="T254" i="18"/>
  <c r="T253" i="18"/>
  <c r="Q265" i="18"/>
  <c r="T264" i="18"/>
  <c r="Q254" i="18"/>
  <c r="R253" i="18"/>
  <c r="T252" i="18"/>
  <c r="Q266" i="18"/>
  <c r="R265" i="18"/>
  <c r="T266" i="18"/>
  <c r="T265" i="18"/>
  <c r="R254" i="18"/>
  <c r="Q252" i="18"/>
  <c r="C258" i="18"/>
  <c r="C270" i="18"/>
  <c r="M270" i="18"/>
  <c r="M258" i="18"/>
  <c r="I259" i="18"/>
  <c r="I271" i="18"/>
  <c r="K270" i="18"/>
  <c r="K258" i="18"/>
  <c r="J272" i="18"/>
  <c r="J260" i="18"/>
  <c r="N259" i="18"/>
  <c r="N271" i="18"/>
  <c r="D270" i="18"/>
  <c r="D258" i="18"/>
  <c r="C271" i="18"/>
  <c r="C259" i="18"/>
  <c r="M260" i="18"/>
  <c r="M272" i="18"/>
  <c r="M259" i="18"/>
  <c r="M271" i="18"/>
  <c r="E258" i="18"/>
  <c r="E270" i="18"/>
  <c r="J270" i="18"/>
  <c r="J258" i="18"/>
  <c r="I260" i="18"/>
  <c r="I272" i="18"/>
  <c r="H270" i="18"/>
  <c r="H258" i="18"/>
  <c r="E272" i="18"/>
  <c r="E260" i="18"/>
  <c r="D271" i="18"/>
  <c r="D259" i="18"/>
  <c r="D272" i="18"/>
  <c r="D260" i="18"/>
  <c r="C272" i="18"/>
  <c r="C260" i="18"/>
  <c r="G272" i="18"/>
  <c r="G260" i="18"/>
  <c r="F272" i="18"/>
  <c r="F260" i="18"/>
  <c r="H272" i="18"/>
  <c r="H260" i="18"/>
  <c r="L270" i="18"/>
  <c r="L258" i="18"/>
  <c r="G271" i="18"/>
  <c r="G259" i="18"/>
  <c r="N260" i="18"/>
  <c r="N272" i="18"/>
  <c r="G270" i="18"/>
  <c r="G258" i="18"/>
  <c r="L271" i="18"/>
  <c r="L259" i="18"/>
  <c r="F271" i="18"/>
  <c r="F259" i="18"/>
  <c r="J271" i="18"/>
  <c r="J259" i="18"/>
  <c r="N270" i="18"/>
  <c r="N258" i="18"/>
  <c r="K272" i="18"/>
  <c r="K260" i="18"/>
  <c r="F270" i="18"/>
  <c r="F258" i="18"/>
  <c r="E271" i="18"/>
  <c r="E259" i="18"/>
  <c r="Q188" i="18"/>
  <c r="R187" i="18"/>
  <c r="H271" i="18"/>
  <c r="H259" i="18"/>
  <c r="L272" i="18"/>
  <c r="L260" i="18"/>
  <c r="I258" i="18"/>
  <c r="I270" i="18"/>
  <c r="K259" i="18"/>
  <c r="K271" i="18"/>
  <c r="R188" i="18"/>
  <c r="Q187" i="18"/>
  <c r="L98" i="18"/>
  <c r="L104" i="18" s="1"/>
  <c r="I98" i="18"/>
  <c r="I104" i="18" s="1"/>
  <c r="F99" i="18"/>
  <c r="F105" i="18" s="1"/>
  <c r="R53" i="18"/>
  <c r="J99" i="18"/>
  <c r="J105" i="18" s="1"/>
  <c r="N99" i="18"/>
  <c r="N105" i="18" s="1"/>
  <c r="E99" i="18"/>
  <c r="E105" i="18" s="1"/>
  <c r="M99" i="18"/>
  <c r="M105" i="18" s="1"/>
  <c r="M98" i="18"/>
  <c r="M104" i="18" s="1"/>
  <c r="E97" i="18"/>
  <c r="E103" i="18" s="1"/>
  <c r="J98" i="18"/>
  <c r="J104" i="18" s="1"/>
  <c r="F97" i="18"/>
  <c r="F103" i="18" s="1"/>
  <c r="H99" i="18"/>
  <c r="H105" i="18" s="1"/>
  <c r="L97" i="18"/>
  <c r="L103" i="18" s="1"/>
  <c r="E98" i="18"/>
  <c r="E104" i="18" s="1"/>
  <c r="H98" i="18"/>
  <c r="H104" i="18" s="1"/>
  <c r="I97" i="18"/>
  <c r="I103" i="18" s="1"/>
  <c r="I99" i="18"/>
  <c r="I105" i="18" s="1"/>
  <c r="H97" i="18"/>
  <c r="H103" i="18" s="1"/>
  <c r="D97" i="18"/>
  <c r="D103" i="18" s="1"/>
  <c r="M97" i="18"/>
  <c r="M103" i="18" s="1"/>
  <c r="Q189" i="18"/>
  <c r="R189" i="18"/>
  <c r="R208" i="18"/>
  <c r="A208" i="18"/>
  <c r="R209" i="18"/>
  <c r="T208" i="18"/>
  <c r="T239" i="18" s="1"/>
  <c r="C226" i="18"/>
  <c r="A207" i="18"/>
  <c r="T209" i="18"/>
  <c r="K234" i="18"/>
  <c r="Q209" i="18"/>
  <c r="T207" i="18"/>
  <c r="T238" i="18" s="1"/>
  <c r="A209" i="18"/>
  <c r="R207" i="18"/>
  <c r="Q208" i="18"/>
  <c r="G226" i="18"/>
  <c r="G227" i="18"/>
  <c r="K232" i="18"/>
  <c r="R23" i="18"/>
  <c r="T24" i="18"/>
  <c r="Q22" i="18"/>
  <c r="T188" i="18"/>
  <c r="T233" i="18" s="1"/>
  <c r="T23" i="18"/>
  <c r="O28" i="18" s="1"/>
  <c r="Q24" i="18"/>
  <c r="T25" i="18"/>
  <c r="O30" i="18" s="1"/>
  <c r="G232" i="18"/>
  <c r="R24" i="18"/>
  <c r="T22" i="18"/>
  <c r="R25" i="18"/>
  <c r="R22" i="18"/>
  <c r="Q23" i="18"/>
  <c r="Q25" i="18"/>
  <c r="T179" i="18"/>
  <c r="T228" i="18" s="1"/>
  <c r="G234" i="18"/>
  <c r="T178" i="18"/>
  <c r="T227" i="18" s="1"/>
  <c r="T189" i="18"/>
  <c r="T234" i="18" s="1"/>
  <c r="T187" i="18"/>
  <c r="T232" i="18" s="1"/>
  <c r="Q179" i="18"/>
  <c r="T177" i="18"/>
  <c r="T226" i="18" s="1"/>
  <c r="T155" i="18"/>
  <c r="R118" i="18"/>
  <c r="R123" i="18"/>
  <c r="R119" i="18"/>
  <c r="Q117" i="18"/>
  <c r="R113" i="18"/>
  <c r="Q112" i="18"/>
  <c r="R111" i="18"/>
  <c r="Q149" i="18"/>
  <c r="Q144" i="18"/>
  <c r="A54" i="18"/>
  <c r="T54" i="18"/>
  <c r="O59" i="18" s="1"/>
  <c r="T124" i="18"/>
  <c r="T125" i="18"/>
  <c r="T118" i="18"/>
  <c r="R125" i="18"/>
  <c r="C160" i="18"/>
  <c r="T148" i="18"/>
  <c r="T143" i="18"/>
  <c r="Q55" i="18"/>
  <c r="R54" i="18"/>
  <c r="T123" i="18"/>
  <c r="Q111" i="18"/>
  <c r="Q124" i="18"/>
  <c r="Q123" i="18"/>
  <c r="Q119" i="18"/>
  <c r="Q118" i="18"/>
  <c r="R117" i="18"/>
  <c r="T117" i="18"/>
  <c r="Q113" i="18"/>
  <c r="R112" i="18"/>
  <c r="T112" i="18"/>
  <c r="T142" i="18"/>
  <c r="K240" i="18"/>
  <c r="R124" i="18"/>
  <c r="T119" i="18"/>
  <c r="T113" i="18"/>
  <c r="T240" i="18"/>
  <c r="A55" i="18"/>
  <c r="T55" i="18"/>
  <c r="O60" i="18" s="1"/>
  <c r="K161" i="18"/>
  <c r="R161" i="18" s="1"/>
  <c r="R143" i="18"/>
  <c r="T154" i="18"/>
  <c r="G97" i="18"/>
  <c r="G103" i="18" s="1"/>
  <c r="Q53" i="18"/>
  <c r="C97" i="18"/>
  <c r="C103" i="18" s="1"/>
  <c r="T53" i="18"/>
  <c r="O58" i="18" s="1"/>
  <c r="K99" i="18"/>
  <c r="K105" i="18" s="1"/>
  <c r="R55" i="18"/>
  <c r="G98" i="18"/>
  <c r="G104" i="18" s="1"/>
  <c r="Q54" i="18"/>
  <c r="G240" i="18"/>
  <c r="C238" i="18"/>
  <c r="T111" i="18"/>
  <c r="T156" i="18"/>
  <c r="R154" i="18"/>
  <c r="R150" i="18"/>
  <c r="T150" i="18"/>
  <c r="T149" i="18"/>
  <c r="Q148" i="18"/>
  <c r="R144" i="18"/>
  <c r="T144" i="18"/>
  <c r="Q143" i="18"/>
  <c r="R149" i="18"/>
  <c r="M130" i="18"/>
  <c r="N162" i="18"/>
  <c r="N161" i="18"/>
  <c r="F161" i="18"/>
  <c r="J160" i="18"/>
  <c r="D162" i="18"/>
  <c r="G160" i="18"/>
  <c r="I160" i="18"/>
  <c r="K160" i="18"/>
  <c r="A24" i="18"/>
  <c r="A22" i="18"/>
  <c r="G162" i="18"/>
  <c r="C161" i="18"/>
  <c r="L160" i="18"/>
  <c r="H162" i="18"/>
  <c r="H160" i="18"/>
  <c r="K162" i="18"/>
  <c r="C162" i="18"/>
  <c r="G161" i="18"/>
  <c r="J161" i="18"/>
  <c r="N160" i="18"/>
  <c r="F160" i="18"/>
  <c r="L162" i="18"/>
  <c r="M86" i="18"/>
  <c r="M85" i="18"/>
  <c r="K85" i="18"/>
  <c r="C85" i="18"/>
  <c r="J131" i="18"/>
  <c r="C98" i="18"/>
  <c r="C104" i="18" s="1"/>
  <c r="D84" i="18"/>
  <c r="K98" i="18"/>
  <c r="K104" i="18" s="1"/>
  <c r="H84" i="18"/>
  <c r="E86" i="18"/>
  <c r="L84" i="18"/>
  <c r="D129" i="18"/>
  <c r="L129" i="18"/>
  <c r="M214" i="18"/>
  <c r="M245" i="18" s="1"/>
  <c r="E228" i="18"/>
  <c r="L130" i="18"/>
  <c r="J130" i="18"/>
  <c r="F131" i="18"/>
  <c r="H129" i="18"/>
  <c r="E215" i="18"/>
  <c r="E246" i="18" s="1"/>
  <c r="I130" i="18"/>
  <c r="E214" i="18"/>
  <c r="E245" i="18" s="1"/>
  <c r="E130" i="18"/>
  <c r="M215" i="18"/>
  <c r="M246" i="18" s="1"/>
  <c r="E227" i="18"/>
  <c r="C213" i="18"/>
  <c r="G85" i="18"/>
  <c r="N215" i="18"/>
  <c r="N246" i="18" s="1"/>
  <c r="H214" i="18"/>
  <c r="H245" i="18" s="1"/>
  <c r="H213" i="18"/>
  <c r="H244" i="18" s="1"/>
  <c r="D130" i="18"/>
  <c r="L213" i="18"/>
  <c r="L244" i="18" s="1"/>
  <c r="I215" i="18"/>
  <c r="I246" i="18" s="1"/>
  <c r="K226" i="18"/>
  <c r="F86" i="18"/>
  <c r="E129" i="18"/>
  <c r="J215" i="18"/>
  <c r="J246" i="18" s="1"/>
  <c r="N131" i="18"/>
  <c r="I131" i="18"/>
  <c r="I214" i="18"/>
  <c r="I245" i="18" s="1"/>
  <c r="D213" i="18"/>
  <c r="D244" i="18" s="1"/>
  <c r="K238" i="18"/>
  <c r="N85" i="18"/>
  <c r="C130" i="18"/>
  <c r="N227" i="18"/>
  <c r="N214" i="18"/>
  <c r="K239" i="18"/>
  <c r="A25" i="18"/>
  <c r="D131" i="18"/>
  <c r="F84" i="18"/>
  <c r="K129" i="18"/>
  <c r="G84" i="18"/>
  <c r="W53" i="18"/>
  <c r="H85" i="18"/>
  <c r="M131" i="18"/>
  <c r="A23" i="18"/>
  <c r="F85" i="18"/>
  <c r="J85" i="18"/>
  <c r="N84" i="18"/>
  <c r="F98" i="18"/>
  <c r="F104" i="18" s="1"/>
  <c r="C228" i="18"/>
  <c r="C215" i="18"/>
  <c r="J227" i="18"/>
  <c r="J214" i="18"/>
  <c r="K131" i="18"/>
  <c r="G129" i="18"/>
  <c r="C84" i="18"/>
  <c r="A53" i="18"/>
  <c r="F215" i="18"/>
  <c r="H130" i="18"/>
  <c r="D85" i="18"/>
  <c r="L214" i="18"/>
  <c r="D214" i="18"/>
  <c r="L86" i="18"/>
  <c r="G130" i="18"/>
  <c r="D228" i="18"/>
  <c r="D215" i="18"/>
  <c r="H131" i="18"/>
  <c r="N129" i="18"/>
  <c r="M129" i="18"/>
  <c r="N97" i="18"/>
  <c r="N103" i="18" s="1"/>
  <c r="G228" i="18"/>
  <c r="G215" i="18"/>
  <c r="M226" i="18"/>
  <c r="M213" i="18"/>
  <c r="L99" i="18"/>
  <c r="L105" i="18" s="1"/>
  <c r="G131" i="18"/>
  <c r="H86" i="18"/>
  <c r="C233" i="18"/>
  <c r="K84" i="18"/>
  <c r="K97" i="18"/>
  <c r="K103" i="18" s="1"/>
  <c r="L85" i="18"/>
  <c r="K130" i="18"/>
  <c r="G233" i="18"/>
  <c r="N213" i="18"/>
  <c r="N226" i="18"/>
  <c r="J84" i="18"/>
  <c r="C86" i="18"/>
  <c r="C99" i="18"/>
  <c r="C105" i="18" s="1"/>
  <c r="J226" i="18"/>
  <c r="J213" i="18"/>
  <c r="G239" i="18"/>
  <c r="K228" i="18"/>
  <c r="K215" i="18"/>
  <c r="E226" i="18"/>
  <c r="E213" i="18"/>
  <c r="G214" i="18"/>
  <c r="I129" i="18"/>
  <c r="M84" i="18"/>
  <c r="K213" i="18"/>
  <c r="F213" i="18"/>
  <c r="F226" i="18"/>
  <c r="J129" i="18"/>
  <c r="K214" i="18"/>
  <c r="K227" i="18"/>
  <c r="I84" i="18"/>
  <c r="L131" i="18"/>
  <c r="F129" i="18"/>
  <c r="C234" i="18"/>
  <c r="E131" i="18"/>
  <c r="C129" i="18"/>
  <c r="I85" i="18"/>
  <c r="J86" i="18"/>
  <c r="C240" i="18"/>
  <c r="G238" i="18"/>
  <c r="G213" i="18"/>
  <c r="D86" i="18"/>
  <c r="N86" i="18"/>
  <c r="K233" i="18"/>
  <c r="L215" i="18"/>
  <c r="L228" i="18"/>
  <c r="C227" i="18"/>
  <c r="C214" i="18"/>
  <c r="D98" i="18"/>
  <c r="D104" i="18" s="1"/>
  <c r="K86" i="18"/>
  <c r="C131" i="18"/>
  <c r="F227" i="18"/>
  <c r="F214" i="18"/>
  <c r="N98" i="18"/>
  <c r="N104" i="18" s="1"/>
  <c r="J97" i="18"/>
  <c r="J103" i="18" s="1"/>
  <c r="I86" i="18"/>
  <c r="C239" i="18"/>
  <c r="N130" i="18"/>
  <c r="F130" i="18"/>
  <c r="I226" i="18"/>
  <c r="I213" i="18"/>
  <c r="W54" i="18"/>
  <c r="E85" i="18"/>
  <c r="D99" i="18"/>
  <c r="D105" i="18" s="1"/>
  <c r="G86" i="18"/>
  <c r="W55" i="18"/>
  <c r="G99" i="18"/>
  <c r="G105" i="18" s="1"/>
  <c r="E84" i="18"/>
  <c r="H215" i="18"/>
  <c r="Q162" i="18" l="1"/>
  <c r="H277" i="18"/>
  <c r="E277" i="18"/>
  <c r="J277" i="18"/>
  <c r="L277" i="18"/>
  <c r="L276" i="18"/>
  <c r="F278" i="18"/>
  <c r="D277" i="18"/>
  <c r="H276" i="18"/>
  <c r="J276" i="18"/>
  <c r="M276" i="18"/>
  <c r="R271" i="18"/>
  <c r="Q30" i="18"/>
  <c r="I278" i="18"/>
  <c r="E276" i="18"/>
  <c r="M278" i="18"/>
  <c r="I277" i="18"/>
  <c r="C278" i="18"/>
  <c r="T260" i="18"/>
  <c r="C277" i="18"/>
  <c r="T259" i="18"/>
  <c r="R258" i="18"/>
  <c r="K276" i="18"/>
  <c r="I276" i="18"/>
  <c r="R272" i="18"/>
  <c r="N278" i="18"/>
  <c r="T272" i="18"/>
  <c r="M277" i="18"/>
  <c r="T271" i="18"/>
  <c r="N277" i="18"/>
  <c r="R270" i="18"/>
  <c r="R260" i="18"/>
  <c r="K278" i="18"/>
  <c r="L278" i="18"/>
  <c r="F276" i="18"/>
  <c r="N276" i="18"/>
  <c r="F277" i="18"/>
  <c r="Q258" i="18"/>
  <c r="G276" i="18"/>
  <c r="Q259" i="18"/>
  <c r="G277" i="18"/>
  <c r="H278" i="18"/>
  <c r="G278" i="18"/>
  <c r="Q260" i="18"/>
  <c r="D278" i="18"/>
  <c r="E278" i="18"/>
  <c r="D276" i="18"/>
  <c r="J278" i="18"/>
  <c r="T270" i="18"/>
  <c r="R84" i="18"/>
  <c r="R259" i="18"/>
  <c r="K277" i="18"/>
  <c r="Q270" i="18"/>
  <c r="Q271" i="18"/>
  <c r="Q272" i="18"/>
  <c r="T258" i="18"/>
  <c r="C276" i="18"/>
  <c r="Q213" i="18"/>
  <c r="Q161" i="18"/>
  <c r="R160" i="18"/>
  <c r="R130" i="18"/>
  <c r="R214" i="18"/>
  <c r="Q214" i="18"/>
  <c r="T214" i="18"/>
  <c r="R27" i="18"/>
  <c r="O27" i="18"/>
  <c r="I27" i="18"/>
  <c r="R29" i="18"/>
  <c r="O29" i="18"/>
  <c r="R215" i="18"/>
  <c r="C244" i="18"/>
  <c r="T213" i="18"/>
  <c r="D29" i="18"/>
  <c r="Q28" i="18"/>
  <c r="R30" i="18"/>
  <c r="Q29" i="18"/>
  <c r="R28" i="18"/>
  <c r="T215" i="18"/>
  <c r="R213" i="18"/>
  <c r="Q215" i="18"/>
  <c r="H28" i="18"/>
  <c r="Q27" i="18"/>
  <c r="R129" i="18"/>
  <c r="R131" i="18"/>
  <c r="Q84" i="18"/>
  <c r="Q58" i="18"/>
  <c r="Q130" i="18"/>
  <c r="T130" i="18"/>
  <c r="O135" i="18" s="1"/>
  <c r="R162" i="18"/>
  <c r="T161" i="18"/>
  <c r="F166" i="18" s="1"/>
  <c r="Q160" i="18"/>
  <c r="Q85" i="18"/>
  <c r="Q59" i="18"/>
  <c r="R86" i="18"/>
  <c r="R60" i="18"/>
  <c r="R58" i="18"/>
  <c r="Q86" i="18"/>
  <c r="Q60" i="18"/>
  <c r="R85" i="18"/>
  <c r="R59" i="18"/>
  <c r="T160" i="18"/>
  <c r="O165" i="18" s="1"/>
  <c r="Q131" i="18"/>
  <c r="T162" i="18"/>
  <c r="Q167" i="18" s="1"/>
  <c r="T131" i="18"/>
  <c r="O136" i="18" s="1"/>
  <c r="T129" i="18"/>
  <c r="O134" i="18" s="1"/>
  <c r="Q129" i="18"/>
  <c r="C60" i="18"/>
  <c r="M93" i="20"/>
  <c r="F58" i="18"/>
  <c r="M91" i="20"/>
  <c r="H59" i="18"/>
  <c r="M92" i="20"/>
  <c r="N29" i="18"/>
  <c r="E27" i="18"/>
  <c r="I59" i="18"/>
  <c r="I58" i="18"/>
  <c r="J28" i="18"/>
  <c r="M85" i="20"/>
  <c r="H30" i="18"/>
  <c r="M87" i="20"/>
  <c r="M86" i="20"/>
  <c r="L27" i="18"/>
  <c r="M84" i="20"/>
  <c r="G29" i="18"/>
  <c r="K29" i="18"/>
  <c r="H29" i="18"/>
  <c r="L29" i="18"/>
  <c r="I29" i="18"/>
  <c r="C29" i="18"/>
  <c r="F29" i="18"/>
  <c r="J29" i="18"/>
  <c r="E29" i="18"/>
  <c r="M29" i="18"/>
  <c r="J27" i="18"/>
  <c r="F28" i="18"/>
  <c r="N27" i="18"/>
  <c r="F27" i="18"/>
  <c r="H27" i="18"/>
  <c r="X55" i="18"/>
  <c r="M99" i="20" s="1"/>
  <c r="N60" i="18"/>
  <c r="I60" i="18"/>
  <c r="K60" i="18"/>
  <c r="J60" i="18"/>
  <c r="C58" i="18"/>
  <c r="X54" i="18"/>
  <c r="M98" i="20" s="1"/>
  <c r="L59" i="18"/>
  <c r="N58" i="18"/>
  <c r="J59" i="18"/>
  <c r="D59" i="18"/>
  <c r="X53" i="18"/>
  <c r="M97" i="20" s="1"/>
  <c r="G246" i="18"/>
  <c r="M244" i="18"/>
  <c r="L245" i="18"/>
  <c r="J245" i="18"/>
  <c r="D30" i="18"/>
  <c r="C30" i="18"/>
  <c r="G28" i="18"/>
  <c r="D60" i="18"/>
  <c r="K245" i="18"/>
  <c r="E244" i="18"/>
  <c r="D28" i="18"/>
  <c r="K27" i="18"/>
  <c r="C27" i="18"/>
  <c r="G27" i="18"/>
  <c r="L30" i="18"/>
  <c r="L28" i="18"/>
  <c r="N28" i="18"/>
  <c r="C245" i="18"/>
  <c r="G244" i="18"/>
  <c r="F244" i="18"/>
  <c r="D245" i="18"/>
  <c r="I30" i="18"/>
  <c r="M30" i="18"/>
  <c r="N30" i="18"/>
  <c r="J30" i="18"/>
  <c r="E30" i="18"/>
  <c r="F30" i="18"/>
  <c r="N245" i="18"/>
  <c r="H246" i="18"/>
  <c r="I244" i="18"/>
  <c r="K246" i="18"/>
  <c r="M60" i="18"/>
  <c r="F60" i="18"/>
  <c r="E60" i="18"/>
  <c r="H60" i="18"/>
  <c r="N244" i="18"/>
  <c r="L60" i="18"/>
  <c r="H58" i="18"/>
  <c r="D58" i="18"/>
  <c r="E58" i="18"/>
  <c r="L58" i="18"/>
  <c r="M58" i="18"/>
  <c r="G60" i="18"/>
  <c r="K30" i="18"/>
  <c r="F245" i="18"/>
  <c r="L246" i="18"/>
  <c r="K28" i="18"/>
  <c r="E28" i="18"/>
  <c r="G30" i="18"/>
  <c r="K244" i="18"/>
  <c r="M28" i="18"/>
  <c r="G245" i="18"/>
  <c r="J244" i="18"/>
  <c r="J58" i="18"/>
  <c r="K58" i="18"/>
  <c r="D246" i="18"/>
  <c r="F246" i="18"/>
  <c r="G59" i="18"/>
  <c r="C59" i="18"/>
  <c r="E59" i="18"/>
  <c r="K59" i="18"/>
  <c r="M59" i="18"/>
  <c r="C246" i="18"/>
  <c r="F59" i="18"/>
  <c r="C28" i="18"/>
  <c r="G58" i="18"/>
  <c r="I28" i="18"/>
  <c r="M27" i="18"/>
  <c r="D27" i="18"/>
  <c r="N59" i="18"/>
  <c r="R277" i="18" l="1"/>
  <c r="R276" i="18"/>
  <c r="T276" i="18"/>
  <c r="M151" i="20" s="1"/>
  <c r="T277" i="18"/>
  <c r="M152" i="20" s="1"/>
  <c r="T278" i="18"/>
  <c r="M153" i="20" s="1"/>
  <c r="Q277" i="18"/>
  <c r="R278" i="18"/>
  <c r="Q278" i="18"/>
  <c r="Q276" i="18"/>
  <c r="O218" i="18"/>
  <c r="V213" i="18"/>
  <c r="O220" i="18"/>
  <c r="V215" i="18"/>
  <c r="O219" i="18"/>
  <c r="V214" i="18"/>
  <c r="R218" i="18"/>
  <c r="Q220" i="18"/>
  <c r="Q218" i="18"/>
  <c r="G166" i="18"/>
  <c r="Q219" i="18"/>
  <c r="R219" i="18"/>
  <c r="R220" i="18"/>
  <c r="D165" i="18"/>
  <c r="R136" i="18"/>
  <c r="K134" i="18"/>
  <c r="R135" i="18"/>
  <c r="Q136" i="18"/>
  <c r="R134" i="18"/>
  <c r="R165" i="18"/>
  <c r="R166" i="18"/>
  <c r="O166" i="18"/>
  <c r="Q134" i="18"/>
  <c r="R167" i="18"/>
  <c r="O167" i="18"/>
  <c r="Q165" i="18"/>
  <c r="Q135" i="18"/>
  <c r="Q166" i="18"/>
  <c r="T27" i="18"/>
  <c r="T30" i="18"/>
  <c r="T58" i="18"/>
  <c r="T29" i="18"/>
  <c r="T60" i="18"/>
  <c r="T59" i="18"/>
  <c r="T28" i="18"/>
  <c r="U215" i="18"/>
  <c r="M111" i="20" s="1"/>
  <c r="U214" i="18"/>
  <c r="M110" i="20" s="1"/>
  <c r="U213" i="18"/>
  <c r="M109" i="20" s="1"/>
  <c r="J166" i="18"/>
  <c r="G167" i="18"/>
  <c r="M147" i="20"/>
  <c r="N135" i="18"/>
  <c r="M140" i="20"/>
  <c r="C165" i="18"/>
  <c r="M145" i="20"/>
  <c r="C136" i="18"/>
  <c r="M141" i="20"/>
  <c r="G134" i="18"/>
  <c r="M139" i="20"/>
  <c r="K166" i="18"/>
  <c r="M146" i="20"/>
  <c r="N219" i="18"/>
  <c r="M104" i="20"/>
  <c r="F220" i="18"/>
  <c r="M105" i="20"/>
  <c r="N218" i="18"/>
  <c r="M103" i="20"/>
  <c r="J218" i="18"/>
  <c r="G219" i="18"/>
  <c r="C166" i="18"/>
  <c r="K136" i="18"/>
  <c r="M165" i="18"/>
  <c r="D136" i="18"/>
  <c r="K218" i="18"/>
  <c r="F219" i="18"/>
  <c r="C220" i="18"/>
  <c r="G135" i="18"/>
  <c r="C135" i="18"/>
  <c r="K165" i="18"/>
  <c r="N166" i="18"/>
  <c r="H135" i="18"/>
  <c r="F135" i="18"/>
  <c r="M218" i="18"/>
  <c r="J219" i="18"/>
  <c r="G220" i="18"/>
  <c r="D219" i="18"/>
  <c r="K219" i="18"/>
  <c r="I165" i="18"/>
  <c r="F165" i="18"/>
  <c r="L220" i="18"/>
  <c r="L165" i="18"/>
  <c r="E165" i="18"/>
  <c r="J165" i="18"/>
  <c r="G165" i="18"/>
  <c r="H165" i="18"/>
  <c r="K135" i="18"/>
  <c r="N165" i="18"/>
  <c r="D134" i="18"/>
  <c r="H134" i="18"/>
  <c r="E134" i="18"/>
  <c r="L134" i="18"/>
  <c r="K167" i="18"/>
  <c r="H167" i="18"/>
  <c r="D167" i="18"/>
  <c r="J136" i="18"/>
  <c r="F136" i="18"/>
  <c r="I136" i="18"/>
  <c r="N136" i="18"/>
  <c r="K220" i="18"/>
  <c r="T244" i="18"/>
  <c r="U244" i="18" s="1"/>
  <c r="V244" i="18" s="1"/>
  <c r="D218" i="18"/>
  <c r="C218" i="18"/>
  <c r="L218" i="18"/>
  <c r="H218" i="18"/>
  <c r="H220" i="18"/>
  <c r="T245" i="18"/>
  <c r="U245" i="18" s="1"/>
  <c r="V245" i="18" s="1"/>
  <c r="E219" i="18"/>
  <c r="H219" i="18"/>
  <c r="I219" i="18"/>
  <c r="M219" i="18"/>
  <c r="J134" i="18"/>
  <c r="E166" i="18"/>
  <c r="M166" i="18"/>
  <c r="D166" i="18"/>
  <c r="H166" i="18"/>
  <c r="I166" i="18"/>
  <c r="L166" i="18"/>
  <c r="N167" i="18"/>
  <c r="E167" i="18"/>
  <c r="F167" i="18"/>
  <c r="I167" i="18"/>
  <c r="J167" i="18"/>
  <c r="L167" i="18"/>
  <c r="M167" i="18"/>
  <c r="I134" i="18"/>
  <c r="C134" i="18"/>
  <c r="T246" i="18"/>
  <c r="U246" i="18" s="1"/>
  <c r="V246" i="18" s="1"/>
  <c r="M220" i="18"/>
  <c r="N220" i="18"/>
  <c r="I220" i="18"/>
  <c r="E220" i="18"/>
  <c r="J220" i="18"/>
  <c r="D220" i="18"/>
  <c r="L136" i="18"/>
  <c r="M134" i="18"/>
  <c r="C167" i="18"/>
  <c r="I218" i="18"/>
  <c r="M136" i="18"/>
  <c r="N134" i="18"/>
  <c r="F218" i="18"/>
  <c r="G218" i="18"/>
  <c r="C219" i="18"/>
  <c r="L135" i="18"/>
  <c r="I135" i="18"/>
  <c r="J135" i="18"/>
  <c r="M135" i="18"/>
  <c r="E135" i="18"/>
  <c r="D135" i="18"/>
  <c r="E218" i="18"/>
  <c r="F134" i="18"/>
  <c r="L219" i="18"/>
  <c r="H136" i="18"/>
  <c r="G136" i="18"/>
  <c r="E136" i="18"/>
  <c r="W213" i="18" l="1"/>
  <c r="M121" i="20" s="1"/>
  <c r="M115" i="20"/>
  <c r="W215" i="18"/>
  <c r="M123" i="20" s="1"/>
  <c r="M117" i="20"/>
  <c r="W214" i="18"/>
  <c r="M122" i="20" s="1"/>
  <c r="M116" i="20"/>
  <c r="T219" i="18"/>
  <c r="T218" i="18"/>
  <c r="T220" i="18"/>
  <c r="T135" i="18"/>
  <c r="T134" i="18"/>
  <c r="T165" i="18"/>
  <c r="T166" i="18"/>
  <c r="T167" i="18"/>
  <c r="T136" i="18"/>
  <c r="M135" i="20"/>
  <c r="M129" i="20"/>
  <c r="M133" i="20"/>
  <c r="M127" i="20"/>
  <c r="M134" i="20"/>
  <c r="M128" i="20"/>
  <c r="M209" i="17" l="1"/>
  <c r="M240" i="17" s="1"/>
  <c r="M208" i="17"/>
  <c r="M239" i="17" s="1"/>
  <c r="M207" i="17"/>
  <c r="M238" i="17" s="1"/>
  <c r="N93" i="17"/>
  <c r="M93" i="17"/>
  <c r="L93" i="17"/>
  <c r="K93" i="17"/>
  <c r="J93" i="17"/>
  <c r="I93" i="17"/>
  <c r="H93" i="17"/>
  <c r="G93" i="17"/>
  <c r="F93" i="17"/>
  <c r="E93" i="17"/>
  <c r="D93" i="17"/>
  <c r="C93" i="17"/>
  <c r="N92" i="17"/>
  <c r="M92" i="17"/>
  <c r="L92" i="17"/>
  <c r="K92" i="17"/>
  <c r="J92" i="17"/>
  <c r="I92" i="17"/>
  <c r="H92" i="17"/>
  <c r="G92" i="17"/>
  <c r="F92" i="17"/>
  <c r="E92" i="17"/>
  <c r="D92" i="17"/>
  <c r="C92" i="17"/>
  <c r="N91" i="17"/>
  <c r="M91" i="17"/>
  <c r="L91" i="17"/>
  <c r="K91" i="17"/>
  <c r="J91" i="17"/>
  <c r="I91" i="17"/>
  <c r="H91" i="17"/>
  <c r="G91" i="17"/>
  <c r="F91" i="17"/>
  <c r="E91" i="17"/>
  <c r="D91" i="17"/>
  <c r="C91" i="17"/>
  <c r="N90" i="17"/>
  <c r="M90" i="17"/>
  <c r="L90" i="17"/>
  <c r="K90" i="17"/>
  <c r="J90" i="17"/>
  <c r="I90" i="17"/>
  <c r="H90" i="17"/>
  <c r="G90" i="17"/>
  <c r="F90" i="17"/>
  <c r="E90" i="17"/>
  <c r="D90" i="17"/>
  <c r="C90" i="17"/>
  <c r="M80" i="17"/>
  <c r="M79" i="17"/>
  <c r="H79" i="17"/>
  <c r="M78" i="17"/>
  <c r="K209" i="17"/>
  <c r="H80" i="17"/>
  <c r="F209" i="17"/>
  <c r="F240" i="17" s="1"/>
  <c r="D80" i="17"/>
  <c r="C209" i="17"/>
  <c r="L79" i="17"/>
  <c r="I208" i="17"/>
  <c r="I239" i="17" s="1"/>
  <c r="E208" i="17"/>
  <c r="E239" i="17" s="1"/>
  <c r="D79" i="17"/>
  <c r="J78" i="17"/>
  <c r="H78" i="17"/>
  <c r="E78" i="17"/>
  <c r="L55" i="17"/>
  <c r="F55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N7" i="17"/>
  <c r="N179" i="17" s="1"/>
  <c r="M7" i="17"/>
  <c r="M179" i="17" s="1"/>
  <c r="L7" i="17"/>
  <c r="L179" i="17" s="1"/>
  <c r="K7" i="17"/>
  <c r="J7" i="17"/>
  <c r="I7" i="17"/>
  <c r="H7" i="17"/>
  <c r="H179" i="17" s="1"/>
  <c r="G7" i="17"/>
  <c r="F7" i="17"/>
  <c r="F179" i="17" s="1"/>
  <c r="E7" i="17"/>
  <c r="E179" i="17" s="1"/>
  <c r="D7" i="17"/>
  <c r="C7" i="17"/>
  <c r="N6" i="17"/>
  <c r="N178" i="17" s="1"/>
  <c r="M6" i="17"/>
  <c r="M178" i="17" s="1"/>
  <c r="L6" i="17"/>
  <c r="K6" i="17"/>
  <c r="J6" i="17"/>
  <c r="J178" i="17" s="1"/>
  <c r="I6" i="17"/>
  <c r="I178" i="17" s="1"/>
  <c r="H6" i="17"/>
  <c r="G6" i="17"/>
  <c r="F6" i="17"/>
  <c r="F178" i="17" s="1"/>
  <c r="E6" i="17"/>
  <c r="E178" i="17" s="1"/>
  <c r="D6" i="17"/>
  <c r="C6" i="17"/>
  <c r="N5" i="17"/>
  <c r="N177" i="17" s="1"/>
  <c r="M5" i="17"/>
  <c r="M177" i="17" s="1"/>
  <c r="L5" i="17"/>
  <c r="L177" i="17" s="1"/>
  <c r="K5" i="17"/>
  <c r="J5" i="17"/>
  <c r="J177" i="17" s="1"/>
  <c r="I5" i="17"/>
  <c r="I177" i="17" s="1"/>
  <c r="H5" i="17"/>
  <c r="H177" i="17" s="1"/>
  <c r="G5" i="17"/>
  <c r="F5" i="17"/>
  <c r="F177" i="17" s="1"/>
  <c r="E5" i="17"/>
  <c r="D5" i="17"/>
  <c r="C5" i="17"/>
  <c r="N4" i="17"/>
  <c r="M4" i="17"/>
  <c r="L4" i="17"/>
  <c r="K4" i="17"/>
  <c r="J4" i="17"/>
  <c r="I4" i="17"/>
  <c r="H4" i="17"/>
  <c r="G4" i="17"/>
  <c r="F4" i="17"/>
  <c r="E4" i="17"/>
  <c r="D4" i="17"/>
  <c r="C4" i="17"/>
  <c r="M209" i="15"/>
  <c r="M240" i="15" s="1"/>
  <c r="M208" i="15"/>
  <c r="M239" i="15" s="1"/>
  <c r="M207" i="15"/>
  <c r="M238" i="15" s="1"/>
  <c r="N93" i="15"/>
  <c r="M93" i="15"/>
  <c r="L93" i="15"/>
  <c r="K93" i="15"/>
  <c r="J93" i="15"/>
  <c r="I93" i="15"/>
  <c r="H93" i="15"/>
  <c r="G93" i="15"/>
  <c r="F93" i="15"/>
  <c r="E93" i="15"/>
  <c r="D93" i="15"/>
  <c r="C93" i="15"/>
  <c r="N92" i="15"/>
  <c r="M92" i="15"/>
  <c r="L92" i="15"/>
  <c r="K92" i="15"/>
  <c r="J92" i="15"/>
  <c r="I92" i="15"/>
  <c r="H92" i="15"/>
  <c r="G92" i="15"/>
  <c r="F92" i="15"/>
  <c r="E92" i="15"/>
  <c r="D92" i="15"/>
  <c r="C92" i="15"/>
  <c r="N91" i="15"/>
  <c r="M91" i="15"/>
  <c r="L91" i="15"/>
  <c r="K91" i="15"/>
  <c r="J91" i="15"/>
  <c r="I91" i="15"/>
  <c r="H91" i="15"/>
  <c r="G91" i="15"/>
  <c r="F91" i="15"/>
  <c r="E91" i="15"/>
  <c r="D91" i="15"/>
  <c r="C91" i="15"/>
  <c r="N90" i="15"/>
  <c r="M90" i="15"/>
  <c r="L90" i="15"/>
  <c r="K90" i="15"/>
  <c r="J90" i="15"/>
  <c r="I90" i="15"/>
  <c r="G90" i="15"/>
  <c r="F90" i="15"/>
  <c r="E90" i="15"/>
  <c r="D90" i="15"/>
  <c r="C90" i="15"/>
  <c r="M80" i="15"/>
  <c r="M79" i="15"/>
  <c r="M78" i="15"/>
  <c r="J156" i="15"/>
  <c r="F156" i="15"/>
  <c r="J155" i="15"/>
  <c r="N154" i="15"/>
  <c r="J150" i="15"/>
  <c r="F149" i="15"/>
  <c r="M148" i="15"/>
  <c r="M143" i="15"/>
  <c r="E143" i="15"/>
  <c r="L142" i="15"/>
  <c r="I142" i="15"/>
  <c r="H142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N7" i="15"/>
  <c r="M7" i="15"/>
  <c r="L7" i="15"/>
  <c r="K7" i="15"/>
  <c r="J7" i="15"/>
  <c r="I7" i="15"/>
  <c r="H7" i="15"/>
  <c r="G7" i="15"/>
  <c r="F7" i="15"/>
  <c r="E7" i="15"/>
  <c r="D7" i="15"/>
  <c r="C7" i="15"/>
  <c r="N6" i="15"/>
  <c r="M6" i="15"/>
  <c r="L6" i="15"/>
  <c r="K6" i="15"/>
  <c r="J6" i="15"/>
  <c r="I6" i="15"/>
  <c r="H6" i="15"/>
  <c r="G6" i="15"/>
  <c r="F6" i="15"/>
  <c r="E6" i="15"/>
  <c r="D6" i="15"/>
  <c r="C6" i="15"/>
  <c r="N5" i="15"/>
  <c r="M5" i="15"/>
  <c r="L5" i="15"/>
  <c r="K5" i="15"/>
  <c r="J5" i="15"/>
  <c r="I5" i="15"/>
  <c r="H5" i="15"/>
  <c r="G5" i="15"/>
  <c r="F5" i="15"/>
  <c r="E5" i="15"/>
  <c r="D5" i="15"/>
  <c r="C5" i="15"/>
  <c r="N4" i="15"/>
  <c r="M4" i="15"/>
  <c r="L4" i="15"/>
  <c r="K4" i="15"/>
  <c r="J4" i="15"/>
  <c r="I4" i="15"/>
  <c r="H4" i="15"/>
  <c r="G4" i="15"/>
  <c r="F4" i="15"/>
  <c r="E4" i="15"/>
  <c r="D4" i="15"/>
  <c r="C4" i="15"/>
  <c r="E253" i="15" l="1"/>
  <c r="E265" i="15"/>
  <c r="I266" i="15"/>
  <c r="I254" i="15"/>
  <c r="C252" i="17"/>
  <c r="C264" i="17"/>
  <c r="K264" i="17"/>
  <c r="K252" i="17"/>
  <c r="C254" i="17"/>
  <c r="C266" i="17"/>
  <c r="K266" i="17"/>
  <c r="K254" i="17"/>
  <c r="F252" i="15"/>
  <c r="F264" i="15"/>
  <c r="J252" i="15"/>
  <c r="J264" i="15"/>
  <c r="N264" i="15"/>
  <c r="N252" i="15"/>
  <c r="F253" i="15"/>
  <c r="F265" i="15"/>
  <c r="J253" i="15"/>
  <c r="J265" i="15"/>
  <c r="N265" i="15"/>
  <c r="N253" i="15"/>
  <c r="F254" i="15"/>
  <c r="F266" i="15"/>
  <c r="J254" i="15"/>
  <c r="J266" i="15"/>
  <c r="N266" i="15"/>
  <c r="N254" i="15"/>
  <c r="D252" i="17"/>
  <c r="D264" i="17"/>
  <c r="H252" i="17"/>
  <c r="H264" i="17"/>
  <c r="L252" i="17"/>
  <c r="L264" i="17"/>
  <c r="D253" i="17"/>
  <c r="D265" i="17"/>
  <c r="H253" i="17"/>
  <c r="H265" i="17"/>
  <c r="L265" i="17"/>
  <c r="L253" i="17"/>
  <c r="D254" i="17"/>
  <c r="D266" i="17"/>
  <c r="H254" i="17"/>
  <c r="H266" i="17"/>
  <c r="L266" i="17"/>
  <c r="L254" i="17"/>
  <c r="M264" i="15"/>
  <c r="M252" i="15"/>
  <c r="E254" i="15"/>
  <c r="E266" i="15"/>
  <c r="G264" i="17"/>
  <c r="G252" i="17"/>
  <c r="C253" i="17"/>
  <c r="C265" i="17"/>
  <c r="K253" i="17"/>
  <c r="K265" i="17"/>
  <c r="G254" i="17"/>
  <c r="G266" i="17"/>
  <c r="C252" i="15"/>
  <c r="C264" i="15"/>
  <c r="C253" i="15"/>
  <c r="C265" i="15"/>
  <c r="G266" i="15"/>
  <c r="G254" i="15"/>
  <c r="E252" i="17"/>
  <c r="E264" i="17"/>
  <c r="I264" i="17"/>
  <c r="I252" i="17"/>
  <c r="M264" i="17"/>
  <c r="M252" i="17"/>
  <c r="E253" i="17"/>
  <c r="E265" i="17"/>
  <c r="I253" i="17"/>
  <c r="I265" i="17"/>
  <c r="M253" i="17"/>
  <c r="M265" i="17"/>
  <c r="E254" i="17"/>
  <c r="E266" i="17"/>
  <c r="I266" i="17"/>
  <c r="I254" i="17"/>
  <c r="M254" i="17"/>
  <c r="M266" i="17"/>
  <c r="E252" i="15"/>
  <c r="E264" i="15"/>
  <c r="I264" i="15"/>
  <c r="I252" i="15"/>
  <c r="I265" i="15"/>
  <c r="I253" i="15"/>
  <c r="M265" i="15"/>
  <c r="M253" i="15"/>
  <c r="M266" i="15"/>
  <c r="M254" i="15"/>
  <c r="G265" i="17"/>
  <c r="G253" i="17"/>
  <c r="G264" i="15"/>
  <c r="Q264" i="15" s="1"/>
  <c r="G252" i="15"/>
  <c r="Q252" i="15" s="1"/>
  <c r="K264" i="15"/>
  <c r="K252" i="15"/>
  <c r="G265" i="15"/>
  <c r="G253" i="15"/>
  <c r="K253" i="15"/>
  <c r="K265" i="15"/>
  <c r="C254" i="15"/>
  <c r="C266" i="15"/>
  <c r="K266" i="15"/>
  <c r="K254" i="15"/>
  <c r="D252" i="15"/>
  <c r="D264" i="15"/>
  <c r="H252" i="15"/>
  <c r="H264" i="15"/>
  <c r="L264" i="15"/>
  <c r="L252" i="15"/>
  <c r="D253" i="15"/>
  <c r="D265" i="15"/>
  <c r="H253" i="15"/>
  <c r="H265" i="15"/>
  <c r="L253" i="15"/>
  <c r="R253" i="15" s="1"/>
  <c r="L265" i="15"/>
  <c r="D254" i="15"/>
  <c r="D266" i="15"/>
  <c r="H254" i="15"/>
  <c r="H266" i="15"/>
  <c r="L266" i="15"/>
  <c r="L254" i="15"/>
  <c r="F252" i="17"/>
  <c r="F264" i="17"/>
  <c r="J252" i="17"/>
  <c r="J264" i="17"/>
  <c r="N264" i="17"/>
  <c r="N252" i="17"/>
  <c r="F253" i="17"/>
  <c r="F265" i="17"/>
  <c r="J253" i="17"/>
  <c r="J265" i="17"/>
  <c r="N253" i="17"/>
  <c r="N265" i="17"/>
  <c r="F254" i="17"/>
  <c r="F266" i="17"/>
  <c r="J254" i="17"/>
  <c r="J266" i="17"/>
  <c r="N266" i="17"/>
  <c r="N254" i="17"/>
  <c r="L272" i="17"/>
  <c r="L260" i="17"/>
  <c r="F272" i="17"/>
  <c r="F260" i="17"/>
  <c r="F187" i="17"/>
  <c r="F232" i="17" s="1"/>
  <c r="J188" i="17"/>
  <c r="J233" i="17" s="1"/>
  <c r="J189" i="17"/>
  <c r="J234" i="17" s="1"/>
  <c r="L187" i="17"/>
  <c r="D188" i="17"/>
  <c r="N188" i="17"/>
  <c r="N233" i="17" s="1"/>
  <c r="E188" i="17"/>
  <c r="E233" i="17" s="1"/>
  <c r="M188" i="17"/>
  <c r="M233" i="17" s="1"/>
  <c r="J187" i="17"/>
  <c r="J232" i="17" s="1"/>
  <c r="F188" i="17"/>
  <c r="F233" i="17" s="1"/>
  <c r="F189" i="17"/>
  <c r="F234" i="17" s="1"/>
  <c r="N189" i="17"/>
  <c r="N234" i="17" s="1"/>
  <c r="L177" i="15"/>
  <c r="D179" i="15"/>
  <c r="L179" i="15"/>
  <c r="L228" i="15" s="1"/>
  <c r="D187" i="15"/>
  <c r="D232" i="15" s="1"/>
  <c r="H187" i="15"/>
  <c r="H232" i="15" s="1"/>
  <c r="L187" i="15"/>
  <c r="L232" i="15" s="1"/>
  <c r="H188" i="15"/>
  <c r="H233" i="15" s="1"/>
  <c r="L188" i="15"/>
  <c r="L233" i="15" s="1"/>
  <c r="D189" i="15"/>
  <c r="D234" i="15" s="1"/>
  <c r="H189" i="15"/>
  <c r="H234" i="15" s="1"/>
  <c r="L189" i="15"/>
  <c r="L234" i="15" s="1"/>
  <c r="E177" i="15"/>
  <c r="E226" i="15" s="1"/>
  <c r="I177" i="15"/>
  <c r="I226" i="15" s="1"/>
  <c r="E178" i="15"/>
  <c r="E227" i="15" s="1"/>
  <c r="M178" i="15"/>
  <c r="I187" i="15"/>
  <c r="I232" i="15" s="1"/>
  <c r="M187" i="15"/>
  <c r="M232" i="15" s="1"/>
  <c r="E188" i="15"/>
  <c r="E233" i="15" s="1"/>
  <c r="I188" i="15"/>
  <c r="I233" i="15" s="1"/>
  <c r="E189" i="15"/>
  <c r="E234" i="15" s="1"/>
  <c r="I189" i="15"/>
  <c r="I234" i="15" s="1"/>
  <c r="M189" i="15"/>
  <c r="M234" i="15" s="1"/>
  <c r="F177" i="15"/>
  <c r="F226" i="15" s="1"/>
  <c r="J177" i="15"/>
  <c r="J226" i="15" s="1"/>
  <c r="N177" i="15"/>
  <c r="N226" i="15" s="1"/>
  <c r="F178" i="15"/>
  <c r="F227" i="15" s="1"/>
  <c r="J178" i="15"/>
  <c r="J227" i="15" s="1"/>
  <c r="N178" i="15"/>
  <c r="N227" i="15" s="1"/>
  <c r="N179" i="15"/>
  <c r="N228" i="15" s="1"/>
  <c r="F187" i="15"/>
  <c r="F232" i="15" s="1"/>
  <c r="J187" i="15"/>
  <c r="J232" i="15" s="1"/>
  <c r="N187" i="15"/>
  <c r="N232" i="15" s="1"/>
  <c r="F188" i="15"/>
  <c r="F233" i="15" s="1"/>
  <c r="J188" i="15"/>
  <c r="J233" i="15" s="1"/>
  <c r="N188" i="15"/>
  <c r="N233" i="15" s="1"/>
  <c r="F189" i="15"/>
  <c r="F234" i="15" s="1"/>
  <c r="J189" i="15"/>
  <c r="J234" i="15" s="1"/>
  <c r="N189" i="15"/>
  <c r="N234" i="15" s="1"/>
  <c r="R41" i="15"/>
  <c r="R42" i="15"/>
  <c r="R43" i="15"/>
  <c r="R47" i="15"/>
  <c r="R78" i="15" s="1"/>
  <c r="H177" i="15"/>
  <c r="H226" i="15" s="1"/>
  <c r="H179" i="15"/>
  <c r="H228" i="15" s="1"/>
  <c r="D188" i="15"/>
  <c r="D233" i="15" s="1"/>
  <c r="M177" i="15"/>
  <c r="M226" i="15" s="1"/>
  <c r="E187" i="15"/>
  <c r="E232" i="15" s="1"/>
  <c r="M188" i="15"/>
  <c r="M233" i="15" s="1"/>
  <c r="R49" i="15"/>
  <c r="R80" i="15" s="1"/>
  <c r="R35" i="15"/>
  <c r="R36" i="15"/>
  <c r="R37" i="15"/>
  <c r="T35" i="15"/>
  <c r="Q35" i="15"/>
  <c r="T36" i="15"/>
  <c r="Q36" i="15"/>
  <c r="T37" i="15"/>
  <c r="Q37" i="15"/>
  <c r="T41" i="15"/>
  <c r="Q41" i="15"/>
  <c r="T42" i="15"/>
  <c r="Q42" i="15"/>
  <c r="T43" i="15"/>
  <c r="T47" i="15"/>
  <c r="Q47" i="15"/>
  <c r="Q78" i="15" s="1"/>
  <c r="R4" i="17"/>
  <c r="R5" i="17"/>
  <c r="R66" i="17" s="1"/>
  <c r="T4" i="15"/>
  <c r="Q4" i="15"/>
  <c r="R4" i="15"/>
  <c r="C177" i="15"/>
  <c r="C226" i="15" s="1"/>
  <c r="T5" i="15"/>
  <c r="G177" i="15"/>
  <c r="Q5" i="15"/>
  <c r="K177" i="15"/>
  <c r="R5" i="15"/>
  <c r="C178" i="15"/>
  <c r="T6" i="15"/>
  <c r="Q6" i="15"/>
  <c r="R6" i="15"/>
  <c r="C179" i="15"/>
  <c r="T7" i="15"/>
  <c r="G179" i="15"/>
  <c r="Q7" i="15"/>
  <c r="K179" i="15"/>
  <c r="R7" i="15"/>
  <c r="T10" i="15"/>
  <c r="Q10" i="15"/>
  <c r="R10" i="15"/>
  <c r="C187" i="15"/>
  <c r="T11" i="15"/>
  <c r="G187" i="15"/>
  <c r="Q11" i="15"/>
  <c r="K187" i="15"/>
  <c r="R11" i="15"/>
  <c r="C188" i="15"/>
  <c r="T12" i="15"/>
  <c r="G188" i="15"/>
  <c r="Q12" i="15"/>
  <c r="K188" i="15"/>
  <c r="R12" i="15"/>
  <c r="C189" i="15"/>
  <c r="C234" i="15" s="1"/>
  <c r="T13" i="15"/>
  <c r="G189" i="15"/>
  <c r="Q13" i="15"/>
  <c r="K189" i="15"/>
  <c r="R13" i="15"/>
  <c r="R66" i="15"/>
  <c r="T4" i="17"/>
  <c r="Q4" i="17"/>
  <c r="T5" i="17"/>
  <c r="G177" i="17"/>
  <c r="Q177" i="17" s="1"/>
  <c r="Q5" i="17"/>
  <c r="Q66" i="17" s="1"/>
  <c r="C178" i="17"/>
  <c r="T6" i="17"/>
  <c r="Q6" i="17"/>
  <c r="Q67" i="17" s="1"/>
  <c r="K178" i="17"/>
  <c r="R6" i="17"/>
  <c r="R67" i="17" s="1"/>
  <c r="C179" i="17"/>
  <c r="T7" i="17"/>
  <c r="Q7" i="17"/>
  <c r="Q68" i="17" s="1"/>
  <c r="K179" i="17"/>
  <c r="R179" i="17" s="1"/>
  <c r="R7" i="17"/>
  <c r="R68" i="17" s="1"/>
  <c r="T10" i="17"/>
  <c r="T11" i="17"/>
  <c r="G187" i="17"/>
  <c r="G232" i="17" s="1"/>
  <c r="Q11" i="17"/>
  <c r="Q72" i="17" s="1"/>
  <c r="K187" i="17"/>
  <c r="R11" i="17"/>
  <c r="R72" i="17" s="1"/>
  <c r="C188" i="17"/>
  <c r="T12" i="17"/>
  <c r="G188" i="17"/>
  <c r="Q12" i="17"/>
  <c r="Q73" i="17" s="1"/>
  <c r="K188" i="17"/>
  <c r="R12" i="17"/>
  <c r="R73" i="17" s="1"/>
  <c r="C189" i="17"/>
  <c r="T13" i="17"/>
  <c r="G189" i="17"/>
  <c r="Q13" i="17"/>
  <c r="Q74" i="17" s="1"/>
  <c r="K189" i="17"/>
  <c r="R13" i="17"/>
  <c r="R74" i="17" s="1"/>
  <c r="G150" i="15"/>
  <c r="Q43" i="15"/>
  <c r="C240" i="17"/>
  <c r="K240" i="17"/>
  <c r="T49" i="15"/>
  <c r="Q49" i="15"/>
  <c r="Q80" i="15" s="1"/>
  <c r="T48" i="15"/>
  <c r="G155" i="15"/>
  <c r="Q48" i="15"/>
  <c r="Q79" i="15" s="1"/>
  <c r="R48" i="15"/>
  <c r="R79" i="15" s="1"/>
  <c r="I178" i="15"/>
  <c r="I227" i="15" s="1"/>
  <c r="E111" i="15"/>
  <c r="E142" i="15"/>
  <c r="E113" i="15"/>
  <c r="E144" i="15"/>
  <c r="M118" i="15"/>
  <c r="M149" i="15"/>
  <c r="M161" i="15" s="1"/>
  <c r="I119" i="15"/>
  <c r="I150" i="15"/>
  <c r="E123" i="15"/>
  <c r="E154" i="15"/>
  <c r="D111" i="15"/>
  <c r="D142" i="15"/>
  <c r="D112" i="15"/>
  <c r="D143" i="15"/>
  <c r="H112" i="15"/>
  <c r="H143" i="15"/>
  <c r="L112" i="15"/>
  <c r="L143" i="15"/>
  <c r="D113" i="15"/>
  <c r="D144" i="15"/>
  <c r="H113" i="15"/>
  <c r="H144" i="15"/>
  <c r="L113" i="15"/>
  <c r="L144" i="15"/>
  <c r="D117" i="15"/>
  <c r="D148" i="15"/>
  <c r="H117" i="15"/>
  <c r="H148" i="15"/>
  <c r="L117" i="15"/>
  <c r="L148" i="15"/>
  <c r="D118" i="15"/>
  <c r="D149" i="15"/>
  <c r="H118" i="15"/>
  <c r="H149" i="15"/>
  <c r="L118" i="15"/>
  <c r="L149" i="15"/>
  <c r="D119" i="15"/>
  <c r="D150" i="15"/>
  <c r="H119" i="15"/>
  <c r="H150" i="15"/>
  <c r="L119" i="15"/>
  <c r="L150" i="15"/>
  <c r="D123" i="15"/>
  <c r="D154" i="15"/>
  <c r="H123" i="15"/>
  <c r="H154" i="15"/>
  <c r="L123" i="15"/>
  <c r="L154" i="15"/>
  <c r="E124" i="15"/>
  <c r="E155" i="15"/>
  <c r="I124" i="15"/>
  <c r="I155" i="15"/>
  <c r="N124" i="15"/>
  <c r="N155" i="15"/>
  <c r="M111" i="15"/>
  <c r="M142" i="15"/>
  <c r="M160" i="15" s="1"/>
  <c r="I112" i="15"/>
  <c r="I143" i="15"/>
  <c r="I113" i="15"/>
  <c r="I144" i="15"/>
  <c r="E117" i="15"/>
  <c r="E148" i="15"/>
  <c r="E118" i="15"/>
  <c r="E149" i="15"/>
  <c r="E119" i="15"/>
  <c r="E150" i="15"/>
  <c r="C125" i="15"/>
  <c r="C156" i="15"/>
  <c r="K125" i="15"/>
  <c r="K156" i="15"/>
  <c r="F111" i="15"/>
  <c r="F142" i="15"/>
  <c r="J111" i="15"/>
  <c r="J142" i="15"/>
  <c r="N111" i="15"/>
  <c r="N142" i="15"/>
  <c r="F112" i="15"/>
  <c r="F143" i="15"/>
  <c r="J112" i="15"/>
  <c r="J143" i="15"/>
  <c r="N112" i="15"/>
  <c r="N143" i="15"/>
  <c r="F113" i="15"/>
  <c r="F144" i="15"/>
  <c r="J113" i="15"/>
  <c r="J144" i="15"/>
  <c r="J162" i="15" s="1"/>
  <c r="N113" i="15"/>
  <c r="N144" i="15"/>
  <c r="F117" i="15"/>
  <c r="F148" i="15"/>
  <c r="J117" i="15"/>
  <c r="J148" i="15"/>
  <c r="N117" i="15"/>
  <c r="N148" i="15"/>
  <c r="J118" i="15"/>
  <c r="J149" i="15"/>
  <c r="N118" i="15"/>
  <c r="N149" i="15"/>
  <c r="F119" i="15"/>
  <c r="F150" i="15"/>
  <c r="N119" i="15"/>
  <c r="N150" i="15"/>
  <c r="F123" i="15"/>
  <c r="F154" i="15"/>
  <c r="J123" i="15"/>
  <c r="J154" i="15"/>
  <c r="C124" i="15"/>
  <c r="C155" i="15"/>
  <c r="K124" i="15"/>
  <c r="K155" i="15"/>
  <c r="D125" i="15"/>
  <c r="D156" i="15"/>
  <c r="H125" i="15"/>
  <c r="H156" i="15"/>
  <c r="L125" i="15"/>
  <c r="L156" i="15"/>
  <c r="M113" i="15"/>
  <c r="M144" i="15"/>
  <c r="I117" i="15"/>
  <c r="I148" i="15"/>
  <c r="I118" i="15"/>
  <c r="I149" i="15"/>
  <c r="M119" i="15"/>
  <c r="M150" i="15"/>
  <c r="I123" i="15"/>
  <c r="I154" i="15"/>
  <c r="F124" i="15"/>
  <c r="F155" i="15"/>
  <c r="G125" i="15"/>
  <c r="G156" i="15"/>
  <c r="C111" i="15"/>
  <c r="C142" i="15"/>
  <c r="G111" i="15"/>
  <c r="G142" i="15"/>
  <c r="K111" i="15"/>
  <c r="K142" i="15"/>
  <c r="R142" i="15" s="1"/>
  <c r="C112" i="15"/>
  <c r="C143" i="15"/>
  <c r="G112" i="15"/>
  <c r="G143" i="15"/>
  <c r="K112" i="15"/>
  <c r="R112" i="15" s="1"/>
  <c r="K143" i="15"/>
  <c r="R143" i="15" s="1"/>
  <c r="C113" i="15"/>
  <c r="C144" i="15"/>
  <c r="G113" i="15"/>
  <c r="G144" i="15"/>
  <c r="K113" i="15"/>
  <c r="R113" i="15" s="1"/>
  <c r="K144" i="15"/>
  <c r="R144" i="15" s="1"/>
  <c r="C117" i="15"/>
  <c r="C148" i="15"/>
  <c r="G117" i="15"/>
  <c r="G148" i="15"/>
  <c r="K117" i="15"/>
  <c r="R117" i="15" s="1"/>
  <c r="K148" i="15"/>
  <c r="R148" i="15" s="1"/>
  <c r="C118" i="15"/>
  <c r="C149" i="15"/>
  <c r="G118" i="15"/>
  <c r="Q118" i="15" s="1"/>
  <c r="G149" i="15"/>
  <c r="Q149" i="15" s="1"/>
  <c r="K118" i="15"/>
  <c r="R118" i="15" s="1"/>
  <c r="K149" i="15"/>
  <c r="R149" i="15" s="1"/>
  <c r="C119" i="15"/>
  <c r="C150" i="15"/>
  <c r="K119" i="15"/>
  <c r="K150" i="15"/>
  <c r="C123" i="15"/>
  <c r="C154" i="15"/>
  <c r="G123" i="15"/>
  <c r="G154" i="15"/>
  <c r="Q154" i="15" s="1"/>
  <c r="K123" i="15"/>
  <c r="K154" i="15"/>
  <c r="D124" i="15"/>
  <c r="D155" i="15"/>
  <c r="H124" i="15"/>
  <c r="H155" i="15"/>
  <c r="L124" i="15"/>
  <c r="L155" i="15"/>
  <c r="E125" i="15"/>
  <c r="E156" i="15"/>
  <c r="I125" i="15"/>
  <c r="I156" i="15"/>
  <c r="N125" i="15"/>
  <c r="N156" i="15"/>
  <c r="I111" i="15"/>
  <c r="E112" i="15"/>
  <c r="M112" i="15"/>
  <c r="M117" i="15"/>
  <c r="N78" i="15"/>
  <c r="N123" i="15"/>
  <c r="J124" i="15"/>
  <c r="F118" i="15"/>
  <c r="J119" i="15"/>
  <c r="G79" i="15"/>
  <c r="G124" i="15"/>
  <c r="G119" i="15"/>
  <c r="H53" i="15"/>
  <c r="H111" i="15"/>
  <c r="L111" i="15"/>
  <c r="F209" i="15"/>
  <c r="F240" i="15" s="1"/>
  <c r="F125" i="15"/>
  <c r="J80" i="15"/>
  <c r="J125" i="15"/>
  <c r="C55" i="15"/>
  <c r="G55" i="15"/>
  <c r="J55" i="15"/>
  <c r="E55" i="15"/>
  <c r="I55" i="15"/>
  <c r="K55" i="15"/>
  <c r="F55" i="15"/>
  <c r="D55" i="15"/>
  <c r="H55" i="15"/>
  <c r="L55" i="15"/>
  <c r="J22" i="17"/>
  <c r="J25" i="17"/>
  <c r="J179" i="17"/>
  <c r="N72" i="17"/>
  <c r="N187" i="17"/>
  <c r="D23" i="15"/>
  <c r="D177" i="15"/>
  <c r="F25" i="15"/>
  <c r="F179" i="15"/>
  <c r="J25" i="15"/>
  <c r="J179" i="15"/>
  <c r="J228" i="15" s="1"/>
  <c r="C22" i="15"/>
  <c r="G22" i="15"/>
  <c r="K22" i="15"/>
  <c r="G24" i="15"/>
  <c r="G178" i="15"/>
  <c r="K24" i="15"/>
  <c r="K178" i="15"/>
  <c r="N25" i="15"/>
  <c r="F66" i="15"/>
  <c r="N66" i="15"/>
  <c r="J68" i="15"/>
  <c r="C23" i="17"/>
  <c r="C177" i="17"/>
  <c r="K23" i="17"/>
  <c r="K177" i="17"/>
  <c r="R177" i="17" s="1"/>
  <c r="G24" i="17"/>
  <c r="G178" i="17"/>
  <c r="Q178" i="17" s="1"/>
  <c r="G25" i="17"/>
  <c r="G179" i="17"/>
  <c r="Q179" i="17" s="1"/>
  <c r="C187" i="17"/>
  <c r="D24" i="15"/>
  <c r="D178" i="15"/>
  <c r="D227" i="15" s="1"/>
  <c r="D22" i="17"/>
  <c r="L22" i="17"/>
  <c r="D23" i="17"/>
  <c r="D177" i="17"/>
  <c r="D24" i="17"/>
  <c r="D178" i="17"/>
  <c r="H24" i="17"/>
  <c r="H178" i="17"/>
  <c r="H227" i="17" s="1"/>
  <c r="L24" i="17"/>
  <c r="L178" i="17"/>
  <c r="L227" i="17" s="1"/>
  <c r="D68" i="17"/>
  <c r="D179" i="17"/>
  <c r="D187" i="17"/>
  <c r="D232" i="17" s="1"/>
  <c r="H187" i="17"/>
  <c r="H232" i="17" s="1"/>
  <c r="H188" i="17"/>
  <c r="L188" i="17"/>
  <c r="D189" i="17"/>
  <c r="D234" i="17" s="1"/>
  <c r="H189" i="17"/>
  <c r="H234" i="17" s="1"/>
  <c r="L189" i="17"/>
  <c r="H24" i="15"/>
  <c r="H178" i="15"/>
  <c r="H227" i="15" s="1"/>
  <c r="L24" i="15"/>
  <c r="L178" i="15"/>
  <c r="L227" i="15" s="1"/>
  <c r="E25" i="15"/>
  <c r="E179" i="15"/>
  <c r="E228" i="15" s="1"/>
  <c r="I25" i="15"/>
  <c r="I179" i="15"/>
  <c r="I228" i="15" s="1"/>
  <c r="M25" i="15"/>
  <c r="M179" i="15"/>
  <c r="M228" i="15" s="1"/>
  <c r="E23" i="17"/>
  <c r="E177" i="17"/>
  <c r="I179" i="17"/>
  <c r="I228" i="17" s="1"/>
  <c r="E187" i="17"/>
  <c r="E232" i="17" s="1"/>
  <c r="I187" i="17"/>
  <c r="I232" i="17" s="1"/>
  <c r="M187" i="17"/>
  <c r="M232" i="17" s="1"/>
  <c r="I73" i="17"/>
  <c r="I188" i="17"/>
  <c r="I233" i="17" s="1"/>
  <c r="E189" i="17"/>
  <c r="E234" i="17" s="1"/>
  <c r="I189" i="17"/>
  <c r="I234" i="17" s="1"/>
  <c r="M189" i="17"/>
  <c r="M234" i="17" s="1"/>
  <c r="H67" i="15"/>
  <c r="H73" i="15"/>
  <c r="H73" i="17"/>
  <c r="I68" i="15"/>
  <c r="I72" i="15"/>
  <c r="I74" i="15"/>
  <c r="F22" i="17"/>
  <c r="N22" i="17"/>
  <c r="D67" i="17"/>
  <c r="I25" i="17"/>
  <c r="M25" i="17"/>
  <c r="I74" i="17"/>
  <c r="C24" i="15"/>
  <c r="G67" i="15"/>
  <c r="K67" i="15"/>
  <c r="C73" i="15"/>
  <c r="G73" i="15"/>
  <c r="K73" i="15"/>
  <c r="E24" i="17"/>
  <c r="I24" i="17"/>
  <c r="E25" i="17"/>
  <c r="E68" i="17"/>
  <c r="M72" i="17"/>
  <c r="M131" i="17"/>
  <c r="M55" i="17"/>
  <c r="M66" i="17"/>
  <c r="M68" i="17"/>
  <c r="J80" i="17"/>
  <c r="G53" i="17"/>
  <c r="J74" i="15"/>
  <c r="C53" i="17"/>
  <c r="I54" i="17"/>
  <c r="H67" i="17"/>
  <c r="L73" i="17"/>
  <c r="N74" i="17"/>
  <c r="F99" i="17"/>
  <c r="F105" i="17" s="1"/>
  <c r="E53" i="17"/>
  <c r="J67" i="17"/>
  <c r="D72" i="17"/>
  <c r="E74" i="17"/>
  <c r="D233" i="17"/>
  <c r="N208" i="17"/>
  <c r="N239" i="17" s="1"/>
  <c r="L67" i="17"/>
  <c r="F68" i="17"/>
  <c r="E72" i="17"/>
  <c r="D73" i="17"/>
  <c r="G209" i="17"/>
  <c r="K53" i="17"/>
  <c r="N67" i="17"/>
  <c r="I68" i="17"/>
  <c r="J72" i="17"/>
  <c r="M74" i="17"/>
  <c r="N79" i="17"/>
  <c r="J209" i="17"/>
  <c r="J240" i="17" s="1"/>
  <c r="F80" i="15"/>
  <c r="J54" i="15"/>
  <c r="D53" i="15"/>
  <c r="L53" i="15"/>
  <c r="I226" i="17"/>
  <c r="F226" i="17"/>
  <c r="J226" i="17"/>
  <c r="N226" i="17"/>
  <c r="M24" i="17"/>
  <c r="C25" i="17"/>
  <c r="K25" i="17"/>
  <c r="H22" i="17"/>
  <c r="J23" i="17"/>
  <c r="N24" i="17"/>
  <c r="D66" i="17"/>
  <c r="H53" i="17"/>
  <c r="K67" i="17"/>
  <c r="K54" i="17"/>
  <c r="C74" i="17"/>
  <c r="G74" i="17"/>
  <c r="K74" i="17"/>
  <c r="F208" i="17"/>
  <c r="F239" i="17" s="1"/>
  <c r="F79" i="17"/>
  <c r="J208" i="17"/>
  <c r="J239" i="17" s="1"/>
  <c r="E209" i="17"/>
  <c r="E240" i="17" s="1"/>
  <c r="I209" i="17"/>
  <c r="I55" i="17"/>
  <c r="N209" i="17"/>
  <c r="N240" i="17" s="1"/>
  <c r="L53" i="17"/>
  <c r="E55" i="17"/>
  <c r="F66" i="17"/>
  <c r="G67" i="17"/>
  <c r="J73" i="17"/>
  <c r="H74" i="17"/>
  <c r="N80" i="17"/>
  <c r="E22" i="17"/>
  <c r="I22" i="17"/>
  <c r="M22" i="17"/>
  <c r="C22" i="17"/>
  <c r="L23" i="17"/>
  <c r="I66" i="17"/>
  <c r="M53" i="17"/>
  <c r="J55" i="17"/>
  <c r="J131" i="17"/>
  <c r="N55" i="17"/>
  <c r="E73" i="17"/>
  <c r="M73" i="17"/>
  <c r="M130" i="17"/>
  <c r="D207" i="17"/>
  <c r="D238" i="17" s="1"/>
  <c r="D78" i="17"/>
  <c r="H207" i="17"/>
  <c r="H238" i="17" s="1"/>
  <c r="L207" i="17"/>
  <c r="L238" i="17" s="1"/>
  <c r="C208" i="17"/>
  <c r="G208" i="17"/>
  <c r="K79" i="17"/>
  <c r="K208" i="17"/>
  <c r="C54" i="17"/>
  <c r="J54" i="17"/>
  <c r="G55" i="17"/>
  <c r="H66" i="17"/>
  <c r="N68" i="17"/>
  <c r="F73" i="17"/>
  <c r="K73" i="17"/>
  <c r="D74" i="17"/>
  <c r="C79" i="17"/>
  <c r="J79" i="17"/>
  <c r="I80" i="17"/>
  <c r="K24" i="17"/>
  <c r="K22" i="17"/>
  <c r="F23" i="17"/>
  <c r="N23" i="17"/>
  <c r="C24" i="17"/>
  <c r="J24" i="17"/>
  <c r="F25" i="17"/>
  <c r="L25" i="17"/>
  <c r="F53" i="17"/>
  <c r="J53" i="17"/>
  <c r="N53" i="17"/>
  <c r="N66" i="17"/>
  <c r="L72" i="17"/>
  <c r="N73" i="17"/>
  <c r="I53" i="17"/>
  <c r="E54" i="17"/>
  <c r="M54" i="17"/>
  <c r="H55" i="17"/>
  <c r="J66" i="17"/>
  <c r="C67" i="17"/>
  <c r="J68" i="17"/>
  <c r="H72" i="17"/>
  <c r="G73" i="17"/>
  <c r="L74" i="17"/>
  <c r="L78" i="17"/>
  <c r="L99" i="17"/>
  <c r="L105" i="17" s="1"/>
  <c r="E228" i="17"/>
  <c r="M23" i="17"/>
  <c r="N25" i="17"/>
  <c r="G22" i="17"/>
  <c r="I23" i="17"/>
  <c r="H25" i="17"/>
  <c r="F67" i="17"/>
  <c r="F54" i="17"/>
  <c r="D55" i="17"/>
  <c r="H68" i="17"/>
  <c r="M129" i="17"/>
  <c r="C73" i="17"/>
  <c r="J74" i="17"/>
  <c r="F207" i="17"/>
  <c r="F238" i="17" s="1"/>
  <c r="J207" i="17"/>
  <c r="J238" i="17" s="1"/>
  <c r="D209" i="17"/>
  <c r="D240" i="17" s="1"/>
  <c r="H209" i="17"/>
  <c r="H240" i="17" s="1"/>
  <c r="L209" i="17"/>
  <c r="L240" i="17" s="1"/>
  <c r="L80" i="17"/>
  <c r="D53" i="17"/>
  <c r="G54" i="17"/>
  <c r="N54" i="17"/>
  <c r="C55" i="17"/>
  <c r="K55" i="17"/>
  <c r="E66" i="17"/>
  <c r="L66" i="17"/>
  <c r="L68" i="17"/>
  <c r="I72" i="17"/>
  <c r="F74" i="17"/>
  <c r="F78" i="17"/>
  <c r="G79" i="17"/>
  <c r="E80" i="17"/>
  <c r="H23" i="17"/>
  <c r="F24" i="17"/>
  <c r="D25" i="17"/>
  <c r="E67" i="17"/>
  <c r="I67" i="17"/>
  <c r="M67" i="17"/>
  <c r="C68" i="17"/>
  <c r="G68" i="17"/>
  <c r="K68" i="17"/>
  <c r="N129" i="17"/>
  <c r="E207" i="17"/>
  <c r="E238" i="17" s="1"/>
  <c r="I207" i="17"/>
  <c r="I238" i="17" s="1"/>
  <c r="N207" i="17"/>
  <c r="N238" i="17" s="1"/>
  <c r="D208" i="17"/>
  <c r="D239" i="17" s="1"/>
  <c r="H208" i="17"/>
  <c r="H239" i="17" s="1"/>
  <c r="L208" i="17"/>
  <c r="L239" i="17" s="1"/>
  <c r="L130" i="17"/>
  <c r="F72" i="17"/>
  <c r="I78" i="17"/>
  <c r="N78" i="17"/>
  <c r="F80" i="17"/>
  <c r="M228" i="17"/>
  <c r="G23" i="17"/>
  <c r="C207" i="17"/>
  <c r="G207" i="17"/>
  <c r="K207" i="17"/>
  <c r="D54" i="17"/>
  <c r="H54" i="17"/>
  <c r="L54" i="17"/>
  <c r="C66" i="17"/>
  <c r="G66" i="17"/>
  <c r="K66" i="17"/>
  <c r="C72" i="17"/>
  <c r="G72" i="17"/>
  <c r="K72" i="17"/>
  <c r="C78" i="17"/>
  <c r="G78" i="17"/>
  <c r="K78" i="17"/>
  <c r="E79" i="17"/>
  <c r="I79" i="17"/>
  <c r="C80" i="17"/>
  <c r="G80" i="17"/>
  <c r="K80" i="17"/>
  <c r="I23" i="15"/>
  <c r="F67" i="15"/>
  <c r="N67" i="15"/>
  <c r="G68" i="15"/>
  <c r="N73" i="15"/>
  <c r="C208" i="15"/>
  <c r="K208" i="15"/>
  <c r="E209" i="15"/>
  <c r="E240" i="15" s="1"/>
  <c r="N209" i="15"/>
  <c r="N240" i="15" s="1"/>
  <c r="E72" i="15"/>
  <c r="M72" i="15"/>
  <c r="N80" i="15"/>
  <c r="H22" i="15"/>
  <c r="F23" i="15"/>
  <c r="J53" i="15"/>
  <c r="D68" i="15"/>
  <c r="L68" i="15"/>
  <c r="H74" i="15"/>
  <c r="F207" i="15"/>
  <c r="F238" i="15" s="1"/>
  <c r="D208" i="15"/>
  <c r="D239" i="15" s="1"/>
  <c r="H208" i="15"/>
  <c r="H239" i="15" s="1"/>
  <c r="L208" i="15"/>
  <c r="L239" i="15" s="1"/>
  <c r="E53" i="15"/>
  <c r="C54" i="15"/>
  <c r="E22" i="15"/>
  <c r="I22" i="15"/>
  <c r="M22" i="15"/>
  <c r="C23" i="15"/>
  <c r="G23" i="15"/>
  <c r="K23" i="15"/>
  <c r="E24" i="15"/>
  <c r="I24" i="15"/>
  <c r="M24" i="15"/>
  <c r="C25" i="15"/>
  <c r="G25" i="15"/>
  <c r="K25" i="15"/>
  <c r="C53" i="15"/>
  <c r="C66" i="15"/>
  <c r="G53" i="15"/>
  <c r="G66" i="15"/>
  <c r="K53" i="15"/>
  <c r="K66" i="15"/>
  <c r="D54" i="15"/>
  <c r="H54" i="15"/>
  <c r="L54" i="15"/>
  <c r="C72" i="15"/>
  <c r="G72" i="15"/>
  <c r="K72" i="15"/>
  <c r="C207" i="15"/>
  <c r="C78" i="15"/>
  <c r="G207" i="15"/>
  <c r="G78" i="15"/>
  <c r="K207" i="15"/>
  <c r="K78" i="15"/>
  <c r="E208" i="15"/>
  <c r="E239" i="15" s="1"/>
  <c r="E79" i="15"/>
  <c r="I208" i="15"/>
  <c r="I239" i="15" s="1"/>
  <c r="I79" i="15"/>
  <c r="N208" i="15"/>
  <c r="N239" i="15" s="1"/>
  <c r="N79" i="15"/>
  <c r="C209" i="15"/>
  <c r="C80" i="15"/>
  <c r="G209" i="15"/>
  <c r="G80" i="15"/>
  <c r="K209" i="15"/>
  <c r="K80" i="15"/>
  <c r="F54" i="15"/>
  <c r="N54" i="15"/>
  <c r="I66" i="15"/>
  <c r="C67" i="15"/>
  <c r="E68" i="15"/>
  <c r="M68" i="15"/>
  <c r="E74" i="15"/>
  <c r="M74" i="15"/>
  <c r="I78" i="15"/>
  <c r="C79" i="15"/>
  <c r="K79" i="15"/>
  <c r="E23" i="15"/>
  <c r="M23" i="15"/>
  <c r="J67" i="15"/>
  <c r="C68" i="15"/>
  <c r="K68" i="15"/>
  <c r="F73" i="15"/>
  <c r="J73" i="15"/>
  <c r="C74" i="15"/>
  <c r="G74" i="15"/>
  <c r="K74" i="15"/>
  <c r="E207" i="15"/>
  <c r="E238" i="15" s="1"/>
  <c r="N207" i="15"/>
  <c r="N238" i="15" s="1"/>
  <c r="G208" i="15"/>
  <c r="I209" i="15"/>
  <c r="I240" i="15" s="1"/>
  <c r="E66" i="15"/>
  <c r="M66" i="15"/>
  <c r="E78" i="15"/>
  <c r="D22" i="15"/>
  <c r="L22" i="15"/>
  <c r="J23" i="15"/>
  <c r="N23" i="15"/>
  <c r="F53" i="15"/>
  <c r="N53" i="15"/>
  <c r="H68" i="15"/>
  <c r="D74" i="15"/>
  <c r="L74" i="15"/>
  <c r="J207" i="15"/>
  <c r="J238" i="15" s="1"/>
  <c r="J209" i="15"/>
  <c r="J240" i="15" s="1"/>
  <c r="M53" i="15"/>
  <c r="K54" i="15"/>
  <c r="F72" i="15"/>
  <c r="N72" i="15"/>
  <c r="F78" i="15"/>
  <c r="H79" i="15"/>
  <c r="I80" i="15"/>
  <c r="I207" i="15"/>
  <c r="I238" i="15" s="1"/>
  <c r="F22" i="15"/>
  <c r="J22" i="15"/>
  <c r="N22" i="15"/>
  <c r="H23" i="15"/>
  <c r="L23" i="15"/>
  <c r="F24" i="15"/>
  <c r="J24" i="15"/>
  <c r="N24" i="15"/>
  <c r="D25" i="15"/>
  <c r="H25" i="15"/>
  <c r="L25" i="15"/>
  <c r="D66" i="15"/>
  <c r="H66" i="15"/>
  <c r="L66" i="15"/>
  <c r="E54" i="15"/>
  <c r="E67" i="15"/>
  <c r="I54" i="15"/>
  <c r="I67" i="15"/>
  <c r="M54" i="15"/>
  <c r="M67" i="15"/>
  <c r="N55" i="15"/>
  <c r="D72" i="15"/>
  <c r="H72" i="15"/>
  <c r="L72" i="15"/>
  <c r="E73" i="15"/>
  <c r="I73" i="15"/>
  <c r="M73" i="15"/>
  <c r="D207" i="15"/>
  <c r="D238" i="15" s="1"/>
  <c r="D78" i="15"/>
  <c r="H207" i="15"/>
  <c r="H238" i="15" s="1"/>
  <c r="H78" i="15"/>
  <c r="L207" i="15"/>
  <c r="L238" i="15" s="1"/>
  <c r="L78" i="15"/>
  <c r="F208" i="15"/>
  <c r="F239" i="15" s="1"/>
  <c r="F79" i="15"/>
  <c r="J208" i="15"/>
  <c r="J239" i="15" s="1"/>
  <c r="J79" i="15"/>
  <c r="D209" i="15"/>
  <c r="D240" i="15" s="1"/>
  <c r="D80" i="15"/>
  <c r="H209" i="15"/>
  <c r="H240" i="15" s="1"/>
  <c r="H80" i="15"/>
  <c r="L209" i="15"/>
  <c r="L240" i="15" s="1"/>
  <c r="L80" i="15"/>
  <c r="I53" i="15"/>
  <c r="G54" i="15"/>
  <c r="M55" i="15"/>
  <c r="J66" i="15"/>
  <c r="D67" i="15"/>
  <c r="L67" i="15"/>
  <c r="F68" i="15"/>
  <c r="N68" i="15"/>
  <c r="J72" i="15"/>
  <c r="D73" i="15"/>
  <c r="L73" i="15"/>
  <c r="F74" i="15"/>
  <c r="N74" i="15"/>
  <c r="J78" i="15"/>
  <c r="D79" i="15"/>
  <c r="L79" i="15"/>
  <c r="E80" i="15"/>
  <c r="R189" i="15" l="1"/>
  <c r="Q188" i="15"/>
  <c r="Q253" i="15"/>
  <c r="Q266" i="15"/>
  <c r="R253" i="17"/>
  <c r="Q254" i="15"/>
  <c r="F278" i="17"/>
  <c r="R266" i="15"/>
  <c r="R264" i="15"/>
  <c r="Q265" i="17"/>
  <c r="Q264" i="17"/>
  <c r="R265" i="17"/>
  <c r="R266" i="17"/>
  <c r="R264" i="17"/>
  <c r="T266" i="15"/>
  <c r="T265" i="15"/>
  <c r="Q266" i="17"/>
  <c r="T265" i="17"/>
  <c r="T266" i="17"/>
  <c r="T264" i="17"/>
  <c r="T252" i="15"/>
  <c r="T253" i="17"/>
  <c r="Q189" i="17"/>
  <c r="T254" i="15"/>
  <c r="Q265" i="15"/>
  <c r="T253" i="15"/>
  <c r="Q254" i="17"/>
  <c r="T254" i="17"/>
  <c r="T252" i="17"/>
  <c r="R254" i="15"/>
  <c r="R265" i="15"/>
  <c r="R252" i="15"/>
  <c r="Q253" i="17"/>
  <c r="T264" i="15"/>
  <c r="Q252" i="17"/>
  <c r="R254" i="17"/>
  <c r="R252" i="17"/>
  <c r="L259" i="15"/>
  <c r="L271" i="15"/>
  <c r="E259" i="15"/>
  <c r="E271" i="15"/>
  <c r="N270" i="15"/>
  <c r="N258" i="15"/>
  <c r="N271" i="17"/>
  <c r="N259" i="17"/>
  <c r="E271" i="17"/>
  <c r="E259" i="17"/>
  <c r="I272" i="17"/>
  <c r="I260" i="17"/>
  <c r="D272" i="15"/>
  <c r="D260" i="15"/>
  <c r="J270" i="15"/>
  <c r="J258" i="15"/>
  <c r="L259" i="17"/>
  <c r="L271" i="17"/>
  <c r="I270" i="17"/>
  <c r="I258" i="17"/>
  <c r="F272" i="15"/>
  <c r="F260" i="15"/>
  <c r="J272" i="15"/>
  <c r="J260" i="15"/>
  <c r="H270" i="15"/>
  <c r="H258" i="15"/>
  <c r="I270" i="15"/>
  <c r="I258" i="15"/>
  <c r="K270" i="15"/>
  <c r="K258" i="15"/>
  <c r="C270" i="15"/>
  <c r="C258" i="15"/>
  <c r="D271" i="17"/>
  <c r="D259" i="17"/>
  <c r="M271" i="17"/>
  <c r="M259" i="17"/>
  <c r="F258" i="17"/>
  <c r="F270" i="17"/>
  <c r="H270" i="17"/>
  <c r="H258" i="17"/>
  <c r="L258" i="15"/>
  <c r="L270" i="15"/>
  <c r="M271" i="15"/>
  <c r="M259" i="15"/>
  <c r="N271" i="15"/>
  <c r="N259" i="15"/>
  <c r="H271" i="15"/>
  <c r="H259" i="15"/>
  <c r="C259" i="15"/>
  <c r="C271" i="15"/>
  <c r="G260" i="17"/>
  <c r="G272" i="17"/>
  <c r="J272" i="17"/>
  <c r="J260" i="17"/>
  <c r="D258" i="15"/>
  <c r="D270" i="15"/>
  <c r="E258" i="17"/>
  <c r="E270" i="17"/>
  <c r="E272" i="15"/>
  <c r="E260" i="15"/>
  <c r="M260" i="15"/>
  <c r="M272" i="15"/>
  <c r="K271" i="15"/>
  <c r="K259" i="15"/>
  <c r="F270" i="15"/>
  <c r="F258" i="15"/>
  <c r="F271" i="15"/>
  <c r="F259" i="15"/>
  <c r="D271" i="15"/>
  <c r="D259" i="15"/>
  <c r="G270" i="15"/>
  <c r="G258" i="15"/>
  <c r="E270" i="15"/>
  <c r="E258" i="15"/>
  <c r="G271" i="17"/>
  <c r="Q271" i="17" s="1"/>
  <c r="G259" i="17"/>
  <c r="D272" i="17"/>
  <c r="D260" i="17"/>
  <c r="N270" i="17"/>
  <c r="N258" i="17"/>
  <c r="J271" i="17"/>
  <c r="J259" i="17"/>
  <c r="M270" i="17"/>
  <c r="M258" i="17"/>
  <c r="E272" i="17"/>
  <c r="E260" i="17"/>
  <c r="K259" i="17"/>
  <c r="K271" i="17"/>
  <c r="J271" i="15"/>
  <c r="J259" i="15"/>
  <c r="K270" i="17"/>
  <c r="K258" i="17"/>
  <c r="I271" i="17"/>
  <c r="I259" i="17"/>
  <c r="G259" i="15"/>
  <c r="G271" i="15"/>
  <c r="N272" i="15"/>
  <c r="N260" i="15"/>
  <c r="I271" i="15"/>
  <c r="I259" i="15"/>
  <c r="M270" i="15"/>
  <c r="M258" i="15"/>
  <c r="H271" i="17"/>
  <c r="H259" i="17"/>
  <c r="K272" i="17"/>
  <c r="R272" i="17" s="1"/>
  <c r="K260" i="17"/>
  <c r="D258" i="17"/>
  <c r="D270" i="17"/>
  <c r="F271" i="17"/>
  <c r="F259" i="17"/>
  <c r="H272" i="17"/>
  <c r="H260" i="17"/>
  <c r="J270" i="17"/>
  <c r="J258" i="17"/>
  <c r="C259" i="17"/>
  <c r="C271" i="17"/>
  <c r="N260" i="17"/>
  <c r="N272" i="17"/>
  <c r="L270" i="17"/>
  <c r="R270" i="17" s="1"/>
  <c r="L258" i="17"/>
  <c r="C270" i="17"/>
  <c r="C258" i="17"/>
  <c r="G270" i="17"/>
  <c r="G258" i="17"/>
  <c r="M272" i="17"/>
  <c r="M260" i="17"/>
  <c r="L260" i="15"/>
  <c r="L272" i="15"/>
  <c r="K272" i="15"/>
  <c r="K260" i="15"/>
  <c r="G272" i="15"/>
  <c r="G260" i="15"/>
  <c r="R67" i="15"/>
  <c r="L278" i="17"/>
  <c r="C260" i="17"/>
  <c r="C272" i="17"/>
  <c r="H272" i="15"/>
  <c r="H260" i="15"/>
  <c r="I260" i="15"/>
  <c r="I272" i="15"/>
  <c r="C260" i="15"/>
  <c r="C272" i="15"/>
  <c r="Q188" i="17"/>
  <c r="R187" i="17"/>
  <c r="R73" i="15"/>
  <c r="M99" i="15"/>
  <c r="M105" i="15" s="1"/>
  <c r="F97" i="15"/>
  <c r="F103" i="15" s="1"/>
  <c r="F98" i="15"/>
  <c r="F104" i="15" s="1"/>
  <c r="D98" i="15"/>
  <c r="D104" i="15" s="1"/>
  <c r="E97" i="15"/>
  <c r="E103" i="15" s="1"/>
  <c r="J97" i="15"/>
  <c r="J103" i="15" s="1"/>
  <c r="J99" i="17"/>
  <c r="J105" i="17" s="1"/>
  <c r="I99" i="17"/>
  <c r="I105" i="17" s="1"/>
  <c r="F99" i="15"/>
  <c r="F105" i="15" s="1"/>
  <c r="J99" i="15"/>
  <c r="J105" i="15" s="1"/>
  <c r="H97" i="15"/>
  <c r="H103" i="15" s="1"/>
  <c r="I98" i="15"/>
  <c r="I104" i="15" s="1"/>
  <c r="M97" i="15"/>
  <c r="M103" i="15" s="1"/>
  <c r="D99" i="17"/>
  <c r="D105" i="17" s="1"/>
  <c r="I97" i="17"/>
  <c r="I103" i="17" s="1"/>
  <c r="N97" i="17"/>
  <c r="N103" i="17" s="1"/>
  <c r="J98" i="17"/>
  <c r="J104" i="17" s="1"/>
  <c r="E99" i="17"/>
  <c r="E105" i="17" s="1"/>
  <c r="J98" i="15"/>
  <c r="J104" i="15" s="1"/>
  <c r="I98" i="17"/>
  <c r="I104" i="17" s="1"/>
  <c r="I97" i="15"/>
  <c r="I103" i="15" s="1"/>
  <c r="L98" i="15"/>
  <c r="L104" i="15" s="1"/>
  <c r="H99" i="17"/>
  <c r="H105" i="17" s="1"/>
  <c r="H99" i="15"/>
  <c r="H105" i="15" s="1"/>
  <c r="I99" i="15"/>
  <c r="I105" i="15" s="1"/>
  <c r="E98" i="15"/>
  <c r="E104" i="15" s="1"/>
  <c r="N97" i="15"/>
  <c r="N103" i="15" s="1"/>
  <c r="N98" i="15"/>
  <c r="N104" i="15" s="1"/>
  <c r="M98" i="17"/>
  <c r="M104" i="17" s="1"/>
  <c r="F97" i="17"/>
  <c r="F103" i="17" s="1"/>
  <c r="L97" i="15"/>
  <c r="L103" i="15" s="1"/>
  <c r="M99" i="17"/>
  <c r="M105" i="17" s="1"/>
  <c r="R74" i="15"/>
  <c r="R72" i="15"/>
  <c r="Q68" i="15"/>
  <c r="R177" i="15"/>
  <c r="Q177" i="15"/>
  <c r="Q179" i="15"/>
  <c r="K226" i="15"/>
  <c r="Q178" i="15"/>
  <c r="R187" i="15"/>
  <c r="R188" i="15"/>
  <c r="Q187" i="15"/>
  <c r="Q208" i="17"/>
  <c r="R179" i="15"/>
  <c r="Q189" i="15"/>
  <c r="R207" i="17"/>
  <c r="G226" i="17"/>
  <c r="Q207" i="17"/>
  <c r="R150" i="15"/>
  <c r="G226" i="15"/>
  <c r="R68" i="15"/>
  <c r="R208" i="15"/>
  <c r="Q209" i="15"/>
  <c r="Q207" i="15"/>
  <c r="A207" i="17"/>
  <c r="Q119" i="15"/>
  <c r="Q123" i="15"/>
  <c r="R119" i="15"/>
  <c r="Q117" i="15"/>
  <c r="Q112" i="15"/>
  <c r="R209" i="15"/>
  <c r="T209" i="15"/>
  <c r="T240" i="15" s="1"/>
  <c r="R207" i="15"/>
  <c r="T207" i="15"/>
  <c r="T238" i="15" s="1"/>
  <c r="K233" i="15"/>
  <c r="T178" i="17"/>
  <c r="T227" i="17" s="1"/>
  <c r="A208" i="17"/>
  <c r="Q66" i="15"/>
  <c r="G232" i="15"/>
  <c r="Q72" i="15"/>
  <c r="C228" i="15"/>
  <c r="A209" i="15"/>
  <c r="A208" i="15"/>
  <c r="R209" i="17"/>
  <c r="T208" i="17"/>
  <c r="T239" i="17" s="1"/>
  <c r="T209" i="17"/>
  <c r="T240" i="17" s="1"/>
  <c r="Q208" i="15"/>
  <c r="T208" i="15"/>
  <c r="T239" i="15" s="1"/>
  <c r="T207" i="17"/>
  <c r="T238" i="17" s="1"/>
  <c r="R208" i="17"/>
  <c r="Q209" i="17"/>
  <c r="G234" i="15"/>
  <c r="Q124" i="15"/>
  <c r="A209" i="17"/>
  <c r="Q73" i="15"/>
  <c r="Q67" i="15"/>
  <c r="A207" i="15"/>
  <c r="K232" i="15"/>
  <c r="K228" i="15"/>
  <c r="Q74" i="15"/>
  <c r="K234" i="15"/>
  <c r="G233" i="15"/>
  <c r="K232" i="17"/>
  <c r="R25" i="15"/>
  <c r="T25" i="17"/>
  <c r="O30" i="17" s="1"/>
  <c r="Q22" i="17"/>
  <c r="R22" i="17"/>
  <c r="Q25" i="17"/>
  <c r="R23" i="17"/>
  <c r="R178" i="15"/>
  <c r="R22" i="15"/>
  <c r="R189" i="17"/>
  <c r="T189" i="17"/>
  <c r="T234" i="17" s="1"/>
  <c r="R178" i="17"/>
  <c r="T189" i="15"/>
  <c r="T234" i="15" s="1"/>
  <c r="T187" i="15"/>
  <c r="T232" i="15" s="1"/>
  <c r="T23" i="15"/>
  <c r="T24" i="15"/>
  <c r="O29" i="15" s="1"/>
  <c r="T177" i="15"/>
  <c r="T226" i="15" s="1"/>
  <c r="Q25" i="15"/>
  <c r="T25" i="15"/>
  <c r="R23" i="15"/>
  <c r="T24" i="17"/>
  <c r="O29" i="17" s="1"/>
  <c r="R24" i="17"/>
  <c r="G228" i="15"/>
  <c r="T177" i="17"/>
  <c r="T226" i="17" s="1"/>
  <c r="R24" i="15"/>
  <c r="R29" i="15" s="1"/>
  <c r="Q22" i="15"/>
  <c r="T179" i="15"/>
  <c r="T228" i="15" s="1"/>
  <c r="T178" i="15"/>
  <c r="T227" i="15" s="1"/>
  <c r="Q24" i="15"/>
  <c r="Q23" i="15"/>
  <c r="Q23" i="17"/>
  <c r="T22" i="17"/>
  <c r="O27" i="17" s="1"/>
  <c r="R25" i="17"/>
  <c r="T187" i="17"/>
  <c r="T232" i="17" s="1"/>
  <c r="Q24" i="17"/>
  <c r="T23" i="17"/>
  <c r="O28" i="17" s="1"/>
  <c r="T22" i="15"/>
  <c r="R188" i="17"/>
  <c r="T188" i="17"/>
  <c r="T233" i="17" s="1"/>
  <c r="Q187" i="17"/>
  <c r="T179" i="17"/>
  <c r="T228" i="17" s="1"/>
  <c r="T188" i="15"/>
  <c r="T233" i="15" s="1"/>
  <c r="T55" i="17"/>
  <c r="O60" i="17" s="1"/>
  <c r="Q55" i="17"/>
  <c r="R154" i="15"/>
  <c r="T150" i="15"/>
  <c r="Q142" i="15"/>
  <c r="R156" i="15"/>
  <c r="T149" i="15"/>
  <c r="Q148" i="15"/>
  <c r="T144" i="15"/>
  <c r="Q143" i="15"/>
  <c r="T142" i="15"/>
  <c r="T155" i="15"/>
  <c r="T156" i="15"/>
  <c r="G99" i="15"/>
  <c r="G105" i="15" s="1"/>
  <c r="Q55" i="15"/>
  <c r="G240" i="17"/>
  <c r="C226" i="17"/>
  <c r="A55" i="15"/>
  <c r="T55" i="15"/>
  <c r="O60" i="15" s="1"/>
  <c r="T118" i="15"/>
  <c r="T113" i="15"/>
  <c r="R111" i="15"/>
  <c r="T111" i="15"/>
  <c r="T124" i="15"/>
  <c r="T125" i="15"/>
  <c r="K97" i="15"/>
  <c r="K103" i="15" s="1"/>
  <c r="R53" i="15"/>
  <c r="C97" i="15"/>
  <c r="C103" i="15" s="1"/>
  <c r="T53" i="15"/>
  <c r="O58" i="15" s="1"/>
  <c r="K97" i="17"/>
  <c r="K103" i="17" s="1"/>
  <c r="R53" i="17"/>
  <c r="K227" i="15"/>
  <c r="K99" i="15"/>
  <c r="K105" i="15" s="1"/>
  <c r="R55" i="15"/>
  <c r="R54" i="15"/>
  <c r="Q53" i="15"/>
  <c r="Q54" i="17"/>
  <c r="K98" i="17"/>
  <c r="K104" i="17" s="1"/>
  <c r="R54" i="17"/>
  <c r="G97" i="17"/>
  <c r="G103" i="17" s="1"/>
  <c r="Q53" i="17"/>
  <c r="T154" i="15"/>
  <c r="T148" i="15"/>
  <c r="G162" i="15"/>
  <c r="Q144" i="15"/>
  <c r="T143" i="15"/>
  <c r="Q156" i="15"/>
  <c r="R155" i="15"/>
  <c r="Q155" i="15"/>
  <c r="Q54" i="15"/>
  <c r="C98" i="15"/>
  <c r="C104" i="15" s="1"/>
  <c r="T54" i="15"/>
  <c r="O59" i="15" s="1"/>
  <c r="K99" i="17"/>
  <c r="K105" i="17" s="1"/>
  <c r="R55" i="17"/>
  <c r="C98" i="17"/>
  <c r="C104" i="17" s="1"/>
  <c r="T54" i="17"/>
  <c r="O59" i="17" s="1"/>
  <c r="C97" i="17"/>
  <c r="C103" i="17" s="1"/>
  <c r="T53" i="17"/>
  <c r="O58" i="17" s="1"/>
  <c r="R123" i="15"/>
  <c r="T123" i="15"/>
  <c r="T119" i="15"/>
  <c r="T117" i="15"/>
  <c r="Q113" i="15"/>
  <c r="T112" i="15"/>
  <c r="Q111" i="15"/>
  <c r="Q125" i="15"/>
  <c r="R124" i="15"/>
  <c r="R125" i="15"/>
  <c r="Q150" i="15"/>
  <c r="E129" i="15"/>
  <c r="E161" i="15"/>
  <c r="L160" i="15"/>
  <c r="D129" i="15"/>
  <c r="I160" i="15"/>
  <c r="H160" i="15"/>
  <c r="M129" i="15"/>
  <c r="L162" i="15"/>
  <c r="D162" i="15"/>
  <c r="K161" i="15"/>
  <c r="C161" i="15"/>
  <c r="G160" i="15"/>
  <c r="M162" i="15"/>
  <c r="F86" i="17"/>
  <c r="A24" i="15"/>
  <c r="A22" i="15"/>
  <c r="N162" i="15"/>
  <c r="F162" i="15"/>
  <c r="J161" i="15"/>
  <c r="N160" i="15"/>
  <c r="F160" i="15"/>
  <c r="I162" i="15"/>
  <c r="N161" i="15"/>
  <c r="F161" i="15"/>
  <c r="J160" i="15"/>
  <c r="I161" i="15"/>
  <c r="E160" i="15"/>
  <c r="H161" i="15"/>
  <c r="K162" i="15"/>
  <c r="C162" i="15"/>
  <c r="G161" i="15"/>
  <c r="K160" i="15"/>
  <c r="C160" i="15"/>
  <c r="H162" i="15"/>
  <c r="L161" i="15"/>
  <c r="D161" i="15"/>
  <c r="D160" i="15"/>
  <c r="E162" i="15"/>
  <c r="H84" i="15"/>
  <c r="D84" i="15"/>
  <c r="E84" i="17"/>
  <c r="I85" i="17"/>
  <c r="A23" i="17"/>
  <c r="N232" i="17"/>
  <c r="L233" i="17"/>
  <c r="D226" i="15"/>
  <c r="M215" i="17"/>
  <c r="M246" i="17" s="1"/>
  <c r="D227" i="17"/>
  <c r="L234" i="17"/>
  <c r="H233" i="17"/>
  <c r="K226" i="17"/>
  <c r="M213" i="15"/>
  <c r="M244" i="15" s="1"/>
  <c r="M215" i="15"/>
  <c r="M246" i="15" s="1"/>
  <c r="M86" i="17"/>
  <c r="G213" i="17"/>
  <c r="G233" i="17"/>
  <c r="F215" i="15"/>
  <c r="F246" i="15" s="1"/>
  <c r="J130" i="17"/>
  <c r="H130" i="17"/>
  <c r="N130" i="17"/>
  <c r="K131" i="17"/>
  <c r="F131" i="17"/>
  <c r="A53" i="17"/>
  <c r="E129" i="17"/>
  <c r="C213" i="17"/>
  <c r="K84" i="17"/>
  <c r="F213" i="17"/>
  <c r="F244" i="17" s="1"/>
  <c r="G84" i="17"/>
  <c r="E97" i="17"/>
  <c r="E103" i="17" s="1"/>
  <c r="I130" i="17"/>
  <c r="K213" i="17"/>
  <c r="K214" i="15"/>
  <c r="C213" i="15"/>
  <c r="E215" i="15"/>
  <c r="E246" i="15" s="1"/>
  <c r="F131" i="15"/>
  <c r="M214" i="15"/>
  <c r="M245" i="15" s="1"/>
  <c r="N131" i="15"/>
  <c r="F228" i="15"/>
  <c r="G214" i="15"/>
  <c r="K215" i="15"/>
  <c r="G227" i="15"/>
  <c r="D97" i="15"/>
  <c r="D103" i="15" s="1"/>
  <c r="I214" i="15"/>
  <c r="I245" i="15" s="1"/>
  <c r="J215" i="15"/>
  <c r="J246" i="15" s="1"/>
  <c r="H86" i="15"/>
  <c r="M227" i="15"/>
  <c r="K213" i="15"/>
  <c r="I215" i="15"/>
  <c r="I246" i="15" s="1"/>
  <c r="J213" i="15"/>
  <c r="J244" i="15" s="1"/>
  <c r="E130" i="15"/>
  <c r="E214" i="15"/>
  <c r="E245" i="15" s="1"/>
  <c r="G213" i="15"/>
  <c r="H214" i="15"/>
  <c r="H245" i="15" s="1"/>
  <c r="E131" i="17"/>
  <c r="J129" i="17"/>
  <c r="L214" i="17"/>
  <c r="L245" i="17" s="1"/>
  <c r="L131" i="17"/>
  <c r="D214" i="17"/>
  <c r="D245" i="17" s="1"/>
  <c r="C84" i="17"/>
  <c r="J213" i="17"/>
  <c r="J244" i="17" s="1"/>
  <c r="I213" i="17"/>
  <c r="I244" i="17" s="1"/>
  <c r="D228" i="15"/>
  <c r="D215" i="15"/>
  <c r="D246" i="15" s="1"/>
  <c r="J131" i="15"/>
  <c r="M130" i="15"/>
  <c r="L130" i="15"/>
  <c r="F130" i="15"/>
  <c r="I130" i="15"/>
  <c r="D214" i="15"/>
  <c r="D245" i="15" s="1"/>
  <c r="H129" i="15"/>
  <c r="I213" i="15"/>
  <c r="I244" i="15" s="1"/>
  <c r="F129" i="15"/>
  <c r="N213" i="15"/>
  <c r="L226" i="15"/>
  <c r="L129" i="15"/>
  <c r="H85" i="17"/>
  <c r="J214" i="17"/>
  <c r="J227" i="17"/>
  <c r="D84" i="17"/>
  <c r="N228" i="17"/>
  <c r="N215" i="17"/>
  <c r="M85" i="17"/>
  <c r="A24" i="17"/>
  <c r="N86" i="17"/>
  <c r="M84" i="17"/>
  <c r="C232" i="17"/>
  <c r="K215" i="17"/>
  <c r="K228" i="17"/>
  <c r="D85" i="17"/>
  <c r="G131" i="17"/>
  <c r="H215" i="17"/>
  <c r="H228" i="17"/>
  <c r="N85" i="17"/>
  <c r="F130" i="17"/>
  <c r="G215" i="17"/>
  <c r="G228" i="17"/>
  <c r="F129" i="17"/>
  <c r="D97" i="17"/>
  <c r="D103" i="17" s="1"/>
  <c r="K227" i="17"/>
  <c r="K214" i="17"/>
  <c r="G86" i="17"/>
  <c r="W55" i="17"/>
  <c r="C233" i="17"/>
  <c r="N98" i="17"/>
  <c r="N104" i="17" s="1"/>
  <c r="I240" i="17"/>
  <c r="I215" i="17"/>
  <c r="L129" i="17"/>
  <c r="C215" i="17"/>
  <c r="C228" i="17"/>
  <c r="N213" i="17"/>
  <c r="G85" i="17"/>
  <c r="W54" i="17"/>
  <c r="L85" i="17"/>
  <c r="L98" i="17"/>
  <c r="L104" i="17" s="1"/>
  <c r="K238" i="17"/>
  <c r="C238" i="17"/>
  <c r="I131" i="17"/>
  <c r="D130" i="17"/>
  <c r="H214" i="17"/>
  <c r="C131" i="17"/>
  <c r="M97" i="17"/>
  <c r="M103" i="17" s="1"/>
  <c r="G234" i="17"/>
  <c r="N214" i="17"/>
  <c r="N227" i="17"/>
  <c r="L226" i="17"/>
  <c r="L213" i="17"/>
  <c r="H129" i="17"/>
  <c r="K86" i="17"/>
  <c r="H131" i="17"/>
  <c r="N131" i="17"/>
  <c r="H86" i="17"/>
  <c r="F84" i="17"/>
  <c r="C227" i="17"/>
  <c r="C214" i="17"/>
  <c r="C85" i="17"/>
  <c r="A54" i="17"/>
  <c r="K239" i="17"/>
  <c r="G239" i="17"/>
  <c r="J86" i="17"/>
  <c r="K233" i="17"/>
  <c r="L232" i="17"/>
  <c r="C234" i="17"/>
  <c r="K85" i="17"/>
  <c r="H84" i="17"/>
  <c r="M214" i="17"/>
  <c r="M227" i="17"/>
  <c r="H97" i="17"/>
  <c r="H103" i="17" s="1"/>
  <c r="N99" i="17"/>
  <c r="N105" i="17" s="1"/>
  <c r="G129" i="17"/>
  <c r="Q129" i="17" s="1"/>
  <c r="C129" i="17"/>
  <c r="L215" i="17"/>
  <c r="L228" i="17"/>
  <c r="H226" i="17"/>
  <c r="H213" i="17"/>
  <c r="C86" i="17"/>
  <c r="A55" i="17"/>
  <c r="M226" i="17"/>
  <c r="M213" i="17"/>
  <c r="H98" i="17"/>
  <c r="H104" i="17" s="1"/>
  <c r="J84" i="17"/>
  <c r="D226" i="17"/>
  <c r="D213" i="17"/>
  <c r="A22" i="17"/>
  <c r="L84" i="17"/>
  <c r="L97" i="17"/>
  <c r="L103" i="17" s="1"/>
  <c r="A25" i="17"/>
  <c r="C99" i="17"/>
  <c r="C105" i="17" s="1"/>
  <c r="G238" i="17"/>
  <c r="F227" i="17"/>
  <c r="F214" i="17"/>
  <c r="D131" i="17"/>
  <c r="J228" i="17"/>
  <c r="J215" i="17"/>
  <c r="E85" i="17"/>
  <c r="E215" i="17"/>
  <c r="W53" i="17"/>
  <c r="K129" i="17"/>
  <c r="E98" i="17"/>
  <c r="E104" i="17" s="1"/>
  <c r="K234" i="17"/>
  <c r="D228" i="17"/>
  <c r="D215" i="17"/>
  <c r="I214" i="17"/>
  <c r="I227" i="17"/>
  <c r="G130" i="17"/>
  <c r="D86" i="17"/>
  <c r="F85" i="17"/>
  <c r="F228" i="17"/>
  <c r="F215" i="17"/>
  <c r="E213" i="17"/>
  <c r="E226" i="17"/>
  <c r="E227" i="17"/>
  <c r="E214" i="17"/>
  <c r="L86" i="17"/>
  <c r="I84" i="17"/>
  <c r="N84" i="17"/>
  <c r="G227" i="17"/>
  <c r="G214" i="17"/>
  <c r="G99" i="17"/>
  <c r="G105" i="17" s="1"/>
  <c r="J85" i="17"/>
  <c r="C239" i="17"/>
  <c r="E130" i="17"/>
  <c r="I129" i="17"/>
  <c r="J97" i="17"/>
  <c r="J103" i="17" s="1"/>
  <c r="E86" i="17"/>
  <c r="I86" i="17"/>
  <c r="K130" i="17"/>
  <c r="R130" i="17" s="1"/>
  <c r="C130" i="17"/>
  <c r="D129" i="17"/>
  <c r="D98" i="17"/>
  <c r="D104" i="17" s="1"/>
  <c r="G98" i="17"/>
  <c r="G104" i="17" s="1"/>
  <c r="F98" i="17"/>
  <c r="F104" i="17" s="1"/>
  <c r="C131" i="15"/>
  <c r="E86" i="15"/>
  <c r="I85" i="15"/>
  <c r="K85" i="15"/>
  <c r="H131" i="15"/>
  <c r="L86" i="15"/>
  <c r="L99" i="15"/>
  <c r="L105" i="15" s="1"/>
  <c r="C240" i="15"/>
  <c r="M131" i="15"/>
  <c r="A23" i="15"/>
  <c r="L131" i="15"/>
  <c r="E213" i="15"/>
  <c r="C232" i="15"/>
  <c r="N86" i="15"/>
  <c r="N215" i="15"/>
  <c r="N129" i="15"/>
  <c r="N214" i="15"/>
  <c r="G240" i="15"/>
  <c r="C238" i="15"/>
  <c r="D85" i="15"/>
  <c r="A25" i="15"/>
  <c r="G130" i="15"/>
  <c r="L84" i="15"/>
  <c r="C215" i="15"/>
  <c r="E99" i="15"/>
  <c r="E105" i="15" s="1"/>
  <c r="N99" i="15"/>
  <c r="N105" i="15" s="1"/>
  <c r="I84" i="15"/>
  <c r="H213" i="15"/>
  <c r="K130" i="15"/>
  <c r="K86" i="15"/>
  <c r="C86" i="15"/>
  <c r="C227" i="15"/>
  <c r="C214" i="15"/>
  <c r="N85" i="15"/>
  <c r="I131" i="15"/>
  <c r="H85" i="15"/>
  <c r="H98" i="15"/>
  <c r="H104" i="15" s="1"/>
  <c r="D130" i="15"/>
  <c r="K84" i="15"/>
  <c r="G84" i="15"/>
  <c r="W53" i="15"/>
  <c r="C84" i="15"/>
  <c r="A53" i="15"/>
  <c r="L214" i="15"/>
  <c r="J129" i="15"/>
  <c r="L215" i="15"/>
  <c r="C99" i="15"/>
  <c r="C105" i="15" s="1"/>
  <c r="K239" i="15"/>
  <c r="J85" i="15"/>
  <c r="L213" i="15"/>
  <c r="N84" i="15"/>
  <c r="E131" i="15"/>
  <c r="I129" i="15"/>
  <c r="E84" i="15"/>
  <c r="D131" i="15"/>
  <c r="G131" i="15"/>
  <c r="G85" i="15"/>
  <c r="W54" i="15"/>
  <c r="F86" i="15"/>
  <c r="M85" i="15"/>
  <c r="J130" i="15"/>
  <c r="M84" i="15"/>
  <c r="D86" i="15"/>
  <c r="D99" i="15"/>
  <c r="D105" i="15" s="1"/>
  <c r="K240" i="15"/>
  <c r="K238" i="15"/>
  <c r="J84" i="15"/>
  <c r="C239" i="15"/>
  <c r="G86" i="15"/>
  <c r="W55" i="15"/>
  <c r="C233" i="15"/>
  <c r="M98" i="15"/>
  <c r="M104" i="15" s="1"/>
  <c r="M86" i="15"/>
  <c r="J86" i="15"/>
  <c r="E85" i="15"/>
  <c r="D213" i="15"/>
  <c r="I86" i="15"/>
  <c r="F84" i="15"/>
  <c r="H215" i="15"/>
  <c r="G239" i="15"/>
  <c r="G215" i="15"/>
  <c r="F214" i="15"/>
  <c r="F85" i="15"/>
  <c r="G238" i="15"/>
  <c r="L85" i="15"/>
  <c r="H130" i="15"/>
  <c r="K129" i="15"/>
  <c r="G129" i="15"/>
  <c r="C129" i="15"/>
  <c r="C85" i="15"/>
  <c r="A54" i="15"/>
  <c r="C130" i="15"/>
  <c r="F213" i="15"/>
  <c r="G98" i="15"/>
  <c r="G104" i="15" s="1"/>
  <c r="N130" i="15"/>
  <c r="J214" i="15"/>
  <c r="K131" i="15"/>
  <c r="K98" i="15"/>
  <c r="K104" i="15" s="1"/>
  <c r="G97" i="15"/>
  <c r="G103" i="15" s="1"/>
  <c r="X55" i="17" l="1"/>
  <c r="N99" i="20" s="1"/>
  <c r="Q270" i="15"/>
  <c r="R271" i="15"/>
  <c r="X53" i="17"/>
  <c r="N97" i="20" s="1"/>
  <c r="X54" i="17"/>
  <c r="N98" i="20" s="1"/>
  <c r="N278" i="17"/>
  <c r="L276" i="17"/>
  <c r="H278" i="17"/>
  <c r="H277" i="17"/>
  <c r="I277" i="15"/>
  <c r="J277" i="15"/>
  <c r="E278" i="17"/>
  <c r="J277" i="17"/>
  <c r="D278" i="17"/>
  <c r="F277" i="15"/>
  <c r="J278" i="17"/>
  <c r="H277" i="15"/>
  <c r="M277" i="15"/>
  <c r="H276" i="17"/>
  <c r="M277" i="17"/>
  <c r="H276" i="15"/>
  <c r="F278" i="15"/>
  <c r="J276" i="15"/>
  <c r="T271" i="17"/>
  <c r="I278" i="17"/>
  <c r="N277" i="17"/>
  <c r="N276" i="15"/>
  <c r="M278" i="15"/>
  <c r="L276" i="15"/>
  <c r="L277" i="15"/>
  <c r="T272" i="17"/>
  <c r="D276" i="15"/>
  <c r="F276" i="17"/>
  <c r="E277" i="15"/>
  <c r="R271" i="17"/>
  <c r="Q271" i="15"/>
  <c r="Q28" i="15"/>
  <c r="G276" i="15"/>
  <c r="Q258" i="15"/>
  <c r="R259" i="15"/>
  <c r="K277" i="15"/>
  <c r="R258" i="15"/>
  <c r="K276" i="15"/>
  <c r="I278" i="15"/>
  <c r="C278" i="17"/>
  <c r="T260" i="17"/>
  <c r="Q272" i="15"/>
  <c r="L278" i="15"/>
  <c r="Q270" i="17"/>
  <c r="C277" i="17"/>
  <c r="T259" i="17"/>
  <c r="D276" i="17"/>
  <c r="G277" i="15"/>
  <c r="E276" i="17"/>
  <c r="R270" i="15"/>
  <c r="L277" i="17"/>
  <c r="Q260" i="15"/>
  <c r="G278" i="15"/>
  <c r="Q258" i="17"/>
  <c r="G276" i="17"/>
  <c r="R258" i="17"/>
  <c r="K276" i="17"/>
  <c r="T272" i="15"/>
  <c r="H278" i="15"/>
  <c r="R260" i="15"/>
  <c r="K278" i="15"/>
  <c r="M278" i="17"/>
  <c r="T258" i="17"/>
  <c r="C276" i="17"/>
  <c r="J276" i="17"/>
  <c r="F277" i="17"/>
  <c r="R260" i="17"/>
  <c r="K278" i="17"/>
  <c r="R278" i="17" s="1"/>
  <c r="M276" i="15"/>
  <c r="N278" i="15"/>
  <c r="I277" i="17"/>
  <c r="M276" i="17"/>
  <c r="N276" i="17"/>
  <c r="Q259" i="17"/>
  <c r="G277" i="17"/>
  <c r="E276" i="15"/>
  <c r="D277" i="15"/>
  <c r="F276" i="15"/>
  <c r="E278" i="15"/>
  <c r="Q272" i="17"/>
  <c r="T271" i="15"/>
  <c r="Q259" i="15"/>
  <c r="N277" i="15"/>
  <c r="D277" i="17"/>
  <c r="C276" i="15"/>
  <c r="T258" i="15"/>
  <c r="I276" i="15"/>
  <c r="J278" i="15"/>
  <c r="I276" i="17"/>
  <c r="D278" i="15"/>
  <c r="E277" i="17"/>
  <c r="T260" i="15"/>
  <c r="C278" i="15"/>
  <c r="R272" i="15"/>
  <c r="T270" i="17"/>
  <c r="R259" i="17"/>
  <c r="K277" i="17"/>
  <c r="Q260" i="17"/>
  <c r="G278" i="17"/>
  <c r="C277" i="15"/>
  <c r="T259" i="15"/>
  <c r="T270" i="15"/>
  <c r="F29" i="15"/>
  <c r="R130" i="15"/>
  <c r="Q30" i="17"/>
  <c r="Q29" i="17"/>
  <c r="Q161" i="15"/>
  <c r="Q60" i="17"/>
  <c r="Q131" i="17"/>
  <c r="R131" i="15"/>
  <c r="Q215" i="15"/>
  <c r="R161" i="15"/>
  <c r="Q29" i="15"/>
  <c r="R30" i="17"/>
  <c r="Q86" i="17"/>
  <c r="Q214" i="17"/>
  <c r="N87" i="20"/>
  <c r="R29" i="17"/>
  <c r="T214" i="15"/>
  <c r="T215" i="17"/>
  <c r="R214" i="17"/>
  <c r="K244" i="15"/>
  <c r="R213" i="15"/>
  <c r="G245" i="15"/>
  <c r="Q214" i="15"/>
  <c r="K244" i="17"/>
  <c r="R213" i="17"/>
  <c r="G244" i="17"/>
  <c r="Q213" i="17"/>
  <c r="R27" i="15"/>
  <c r="O27" i="15"/>
  <c r="Q27" i="15"/>
  <c r="T215" i="15"/>
  <c r="T214" i="17"/>
  <c r="Q215" i="17"/>
  <c r="R215" i="17"/>
  <c r="C244" i="17"/>
  <c r="T213" i="17"/>
  <c r="Q28" i="17"/>
  <c r="Q30" i="15"/>
  <c r="O30" i="15"/>
  <c r="R28" i="17"/>
  <c r="R27" i="17"/>
  <c r="C244" i="15"/>
  <c r="T213" i="15"/>
  <c r="R30" i="15"/>
  <c r="G244" i="15"/>
  <c r="Q213" i="15"/>
  <c r="R215" i="15"/>
  <c r="K245" i="15"/>
  <c r="R214" i="15"/>
  <c r="R28" i="15"/>
  <c r="O28" i="15"/>
  <c r="Q27" i="17"/>
  <c r="Q129" i="15"/>
  <c r="T131" i="15"/>
  <c r="O136" i="15" s="1"/>
  <c r="R160" i="15"/>
  <c r="R129" i="15"/>
  <c r="R129" i="17"/>
  <c r="Q160" i="15"/>
  <c r="T131" i="17"/>
  <c r="O136" i="17" s="1"/>
  <c r="R85" i="15"/>
  <c r="R59" i="15"/>
  <c r="R84" i="15"/>
  <c r="R58" i="15"/>
  <c r="Q130" i="15"/>
  <c r="Q131" i="15"/>
  <c r="Q162" i="15"/>
  <c r="R85" i="17"/>
  <c r="R59" i="17"/>
  <c r="Q84" i="15"/>
  <c r="Q58" i="15"/>
  <c r="R86" i="15"/>
  <c r="R60" i="15"/>
  <c r="Q86" i="15"/>
  <c r="Q60" i="15"/>
  <c r="T129" i="15"/>
  <c r="O134" i="15" s="1"/>
  <c r="T129" i="17"/>
  <c r="O134" i="17" s="1"/>
  <c r="T162" i="15"/>
  <c r="O167" i="15" s="1"/>
  <c r="R86" i="17"/>
  <c r="R60" i="17"/>
  <c r="Q84" i="17"/>
  <c r="Q58" i="17"/>
  <c r="R84" i="17"/>
  <c r="R58" i="17"/>
  <c r="T130" i="15"/>
  <c r="O135" i="15" s="1"/>
  <c r="T130" i="17"/>
  <c r="O135" i="17" s="1"/>
  <c r="Q130" i="17"/>
  <c r="R131" i="17"/>
  <c r="T160" i="15"/>
  <c r="O165" i="15" s="1"/>
  <c r="R162" i="15"/>
  <c r="T161" i="15"/>
  <c r="O166" i="15" s="1"/>
  <c r="Q85" i="15"/>
  <c r="Q59" i="15"/>
  <c r="Q85" i="17"/>
  <c r="Q59" i="17"/>
  <c r="J59" i="15"/>
  <c r="L92" i="20"/>
  <c r="I59" i="17"/>
  <c r="N92" i="20"/>
  <c r="H60" i="17"/>
  <c r="N93" i="20"/>
  <c r="K58" i="15"/>
  <c r="L91" i="20"/>
  <c r="H60" i="15"/>
  <c r="L93" i="20"/>
  <c r="M58" i="17"/>
  <c r="N91" i="20"/>
  <c r="L84" i="20"/>
  <c r="C30" i="15"/>
  <c r="L87" i="20"/>
  <c r="D28" i="15"/>
  <c r="L85" i="20"/>
  <c r="M27" i="17"/>
  <c r="N84" i="20"/>
  <c r="L28" i="17"/>
  <c r="N85" i="20"/>
  <c r="N29" i="15"/>
  <c r="L86" i="20"/>
  <c r="C29" i="17"/>
  <c r="N86" i="20"/>
  <c r="E29" i="15"/>
  <c r="I29" i="15"/>
  <c r="D30" i="15"/>
  <c r="D27" i="15"/>
  <c r="G27" i="15"/>
  <c r="K30" i="15"/>
  <c r="N28" i="15"/>
  <c r="H30" i="15"/>
  <c r="K27" i="15"/>
  <c r="C27" i="17"/>
  <c r="H28" i="15"/>
  <c r="F27" i="15"/>
  <c r="L27" i="15"/>
  <c r="K28" i="15"/>
  <c r="H27" i="15"/>
  <c r="E27" i="15"/>
  <c r="J27" i="15"/>
  <c r="C27" i="15"/>
  <c r="I28" i="15"/>
  <c r="E28" i="15"/>
  <c r="K27" i="17"/>
  <c r="H27" i="17"/>
  <c r="G28" i="15"/>
  <c r="J28" i="15"/>
  <c r="E27" i="17"/>
  <c r="I27" i="17"/>
  <c r="I27" i="15"/>
  <c r="M29" i="15"/>
  <c r="N27" i="15"/>
  <c r="M27" i="15"/>
  <c r="L30" i="15"/>
  <c r="F28" i="15"/>
  <c r="I60" i="17"/>
  <c r="N28" i="17"/>
  <c r="I28" i="17"/>
  <c r="E60" i="17"/>
  <c r="J58" i="17"/>
  <c r="H28" i="17"/>
  <c r="J28" i="17"/>
  <c r="G28" i="17"/>
  <c r="F28" i="17"/>
  <c r="M28" i="17"/>
  <c r="E58" i="15"/>
  <c r="F58" i="15"/>
  <c r="I60" i="15"/>
  <c r="M58" i="15"/>
  <c r="J58" i="15"/>
  <c r="N58" i="15"/>
  <c r="K246" i="15"/>
  <c r="J60" i="15"/>
  <c r="M60" i="15"/>
  <c r="X55" i="15"/>
  <c r="L99" i="20" s="1"/>
  <c r="D60" i="15"/>
  <c r="F60" i="15"/>
  <c r="G60" i="15"/>
  <c r="C60" i="15"/>
  <c r="K60" i="15"/>
  <c r="N244" i="15"/>
  <c r="J29" i="15"/>
  <c r="I59" i="15"/>
  <c r="C58" i="15"/>
  <c r="G58" i="15"/>
  <c r="I58" i="15"/>
  <c r="G60" i="17"/>
  <c r="D60" i="17"/>
  <c r="K60" i="17"/>
  <c r="C60" i="17"/>
  <c r="X54" i="15"/>
  <c r="L98" i="20" s="1"/>
  <c r="N59" i="15"/>
  <c r="H59" i="15"/>
  <c r="G245" i="17"/>
  <c r="J30" i="17"/>
  <c r="G30" i="17"/>
  <c r="M30" i="17"/>
  <c r="E30" i="17"/>
  <c r="I30" i="17"/>
  <c r="C245" i="17"/>
  <c r="H245" i="17"/>
  <c r="K58" i="17"/>
  <c r="C58" i="17"/>
  <c r="G58" i="17"/>
  <c r="E58" i="17"/>
  <c r="M29" i="17"/>
  <c r="E245" i="17"/>
  <c r="E246" i="17"/>
  <c r="N29" i="17"/>
  <c r="L58" i="17"/>
  <c r="D244" i="17"/>
  <c r="C59" i="17"/>
  <c r="F58" i="17"/>
  <c r="L59" i="17"/>
  <c r="G59" i="17"/>
  <c r="K245" i="17"/>
  <c r="N59" i="17"/>
  <c r="D59" i="17"/>
  <c r="L30" i="17"/>
  <c r="D58" i="17"/>
  <c r="H59" i="17"/>
  <c r="J59" i="17"/>
  <c r="D246" i="17"/>
  <c r="F29" i="17"/>
  <c r="E59" i="17"/>
  <c r="J246" i="17"/>
  <c r="F245" i="17"/>
  <c r="D27" i="17"/>
  <c r="N27" i="17"/>
  <c r="J27" i="17"/>
  <c r="L27" i="17"/>
  <c r="F27" i="17"/>
  <c r="M60" i="17"/>
  <c r="L60" i="17"/>
  <c r="F60" i="17"/>
  <c r="L246" i="17"/>
  <c r="J60" i="17"/>
  <c r="K29" i="17"/>
  <c r="J29" i="17"/>
  <c r="N245" i="17"/>
  <c r="C246" i="17"/>
  <c r="E28" i="17"/>
  <c r="C28" i="17"/>
  <c r="D28" i="17"/>
  <c r="K28" i="17"/>
  <c r="I246" i="17"/>
  <c r="G27" i="17"/>
  <c r="D30" i="17"/>
  <c r="K246" i="17"/>
  <c r="N60" i="17"/>
  <c r="N246" i="17"/>
  <c r="J245" i="17"/>
  <c r="E244" i="17"/>
  <c r="M244" i="17"/>
  <c r="K30" i="17"/>
  <c r="G246" i="17"/>
  <c r="H246" i="17"/>
  <c r="G29" i="17"/>
  <c r="H29" i="17"/>
  <c r="D29" i="17"/>
  <c r="I29" i="17"/>
  <c r="E29" i="17"/>
  <c r="L29" i="17"/>
  <c r="H30" i="17"/>
  <c r="N58" i="17"/>
  <c r="F246" i="17"/>
  <c r="I245" i="17"/>
  <c r="I58" i="17"/>
  <c r="F59" i="17"/>
  <c r="C30" i="17"/>
  <c r="H244" i="17"/>
  <c r="M245" i="17"/>
  <c r="H58" i="17"/>
  <c r="K59" i="17"/>
  <c r="N30" i="17"/>
  <c r="L244" i="17"/>
  <c r="N244" i="17"/>
  <c r="F30" i="17"/>
  <c r="M59" i="17"/>
  <c r="D244" i="15"/>
  <c r="C245" i="15"/>
  <c r="J245" i="15"/>
  <c r="M59" i="15"/>
  <c r="L244" i="15"/>
  <c r="H58" i="15"/>
  <c r="D58" i="15"/>
  <c r="L58" i="15"/>
  <c r="X53" i="15"/>
  <c r="L97" i="20" s="1"/>
  <c r="H244" i="15"/>
  <c r="D59" i="15"/>
  <c r="M28" i="15"/>
  <c r="N246" i="15"/>
  <c r="N60" i="15"/>
  <c r="C28" i="15"/>
  <c r="K59" i="15"/>
  <c r="L28" i="15"/>
  <c r="G59" i="15"/>
  <c r="C246" i="15"/>
  <c r="E60" i="15"/>
  <c r="F244" i="15"/>
  <c r="F245" i="15"/>
  <c r="C59" i="15"/>
  <c r="L59" i="15"/>
  <c r="F59" i="15"/>
  <c r="G246" i="15"/>
  <c r="H246" i="15"/>
  <c r="E59" i="15"/>
  <c r="L246" i="15"/>
  <c r="L245" i="15"/>
  <c r="K29" i="15"/>
  <c r="C29" i="15"/>
  <c r="D29" i="15"/>
  <c r="G29" i="15"/>
  <c r="H29" i="15"/>
  <c r="L29" i="15"/>
  <c r="N30" i="15"/>
  <c r="F30" i="15"/>
  <c r="E30" i="15"/>
  <c r="M30" i="15"/>
  <c r="I30" i="15"/>
  <c r="J30" i="15"/>
  <c r="N245" i="15"/>
  <c r="E244" i="15"/>
  <c r="G30" i="15"/>
  <c r="L60" i="15"/>
  <c r="R276" i="17" l="1"/>
  <c r="Q278" i="17"/>
  <c r="R277" i="15"/>
  <c r="Q277" i="17"/>
  <c r="Q276" i="15"/>
  <c r="R276" i="15"/>
  <c r="R278" i="15"/>
  <c r="T276" i="17"/>
  <c r="N151" i="20" s="1"/>
  <c r="T277" i="17"/>
  <c r="N152" i="20" s="1"/>
  <c r="Q276" i="17"/>
  <c r="R277" i="17"/>
  <c r="T278" i="15"/>
  <c r="L153" i="20" s="1"/>
  <c r="T278" i="17"/>
  <c r="N153" i="20" s="1"/>
  <c r="T277" i="15"/>
  <c r="L152" i="20" s="1"/>
  <c r="T276" i="15"/>
  <c r="L151" i="20" s="1"/>
  <c r="Q278" i="15"/>
  <c r="Q277" i="15"/>
  <c r="O218" i="15"/>
  <c r="V213" i="15"/>
  <c r="O220" i="17"/>
  <c r="V215" i="17"/>
  <c r="O219" i="15"/>
  <c r="V214" i="15"/>
  <c r="O220" i="15"/>
  <c r="V215" i="15"/>
  <c r="O218" i="17"/>
  <c r="V213" i="17"/>
  <c r="O219" i="17"/>
  <c r="V214" i="17"/>
  <c r="Q134" i="15"/>
  <c r="R136" i="17"/>
  <c r="Q136" i="15"/>
  <c r="Q136" i="17"/>
  <c r="R134" i="15"/>
  <c r="R136" i="15"/>
  <c r="Q220" i="17"/>
  <c r="Q219" i="17"/>
  <c r="Q218" i="17"/>
  <c r="R218" i="17"/>
  <c r="R220" i="17"/>
  <c r="R219" i="15"/>
  <c r="Q219" i="15"/>
  <c r="T28" i="15"/>
  <c r="R218" i="15"/>
  <c r="R220" i="15"/>
  <c r="R219" i="17"/>
  <c r="T28" i="17"/>
  <c r="Q218" i="15"/>
  <c r="Q220" i="15"/>
  <c r="Q134" i="17"/>
  <c r="R134" i="17"/>
  <c r="Q165" i="15"/>
  <c r="R165" i="15"/>
  <c r="R167" i="15"/>
  <c r="Q135" i="17"/>
  <c r="Q167" i="15"/>
  <c r="Q135" i="15"/>
  <c r="Q166" i="15"/>
  <c r="R135" i="15"/>
  <c r="R166" i="15"/>
  <c r="R135" i="17"/>
  <c r="T30" i="17"/>
  <c r="T59" i="17"/>
  <c r="T60" i="17"/>
  <c r="T27" i="17"/>
  <c r="T58" i="17"/>
  <c r="T29" i="17"/>
  <c r="T58" i="15"/>
  <c r="T27" i="15"/>
  <c r="T59" i="15"/>
  <c r="T29" i="15"/>
  <c r="T60" i="15"/>
  <c r="T30" i="15"/>
  <c r="L105" i="20"/>
  <c r="X215" i="18"/>
  <c r="U215" i="15"/>
  <c r="L111" i="20" s="1"/>
  <c r="L104" i="20"/>
  <c r="X214" i="18"/>
  <c r="U214" i="15"/>
  <c r="L110" i="20" s="1"/>
  <c r="L103" i="20"/>
  <c r="X213" i="18"/>
  <c r="U213" i="15"/>
  <c r="L109" i="20" s="1"/>
  <c r="U215" i="17"/>
  <c r="N111" i="20" s="1"/>
  <c r="X215" i="17"/>
  <c r="U213" i="17"/>
  <c r="N109" i="20" s="1"/>
  <c r="X213" i="17"/>
  <c r="U214" i="17"/>
  <c r="N110" i="20" s="1"/>
  <c r="X214" i="17"/>
  <c r="H165" i="17"/>
  <c r="N145" i="20"/>
  <c r="K166" i="17"/>
  <c r="N146" i="20"/>
  <c r="H167" i="17"/>
  <c r="N147" i="20"/>
  <c r="I136" i="17"/>
  <c r="N141" i="20"/>
  <c r="F134" i="17"/>
  <c r="N139" i="20"/>
  <c r="G135" i="17"/>
  <c r="N140" i="20"/>
  <c r="J165" i="15"/>
  <c r="L145" i="20"/>
  <c r="G167" i="15"/>
  <c r="L147" i="20"/>
  <c r="F166" i="15"/>
  <c r="L146" i="20"/>
  <c r="L136" i="15"/>
  <c r="L141" i="20"/>
  <c r="I134" i="15"/>
  <c r="L139" i="20"/>
  <c r="H135" i="15"/>
  <c r="L140" i="20"/>
  <c r="E218" i="17"/>
  <c r="N103" i="20"/>
  <c r="K220" i="17"/>
  <c r="N105" i="20"/>
  <c r="J219" i="17"/>
  <c r="N104" i="20"/>
  <c r="N167" i="17"/>
  <c r="J167" i="17"/>
  <c r="L167" i="17"/>
  <c r="M167" i="17"/>
  <c r="F167" i="17"/>
  <c r="C167" i="17"/>
  <c r="H220" i="17"/>
  <c r="G167" i="17"/>
  <c r="D167" i="17"/>
  <c r="E167" i="17"/>
  <c r="K167" i="17"/>
  <c r="I167" i="17"/>
  <c r="D218" i="15"/>
  <c r="X213" i="15"/>
  <c r="X215" i="15"/>
  <c r="X214" i="15"/>
  <c r="H134" i="17"/>
  <c r="G219" i="17"/>
  <c r="N218" i="17"/>
  <c r="H218" i="17"/>
  <c r="M218" i="17"/>
  <c r="M219" i="17"/>
  <c r="E220" i="17"/>
  <c r="L219" i="15"/>
  <c r="F219" i="15"/>
  <c r="G220" i="15"/>
  <c r="C136" i="15"/>
  <c r="N219" i="15"/>
  <c r="K134" i="15"/>
  <c r="J219" i="15"/>
  <c r="C219" i="15"/>
  <c r="F220" i="17"/>
  <c r="C166" i="17"/>
  <c r="J220" i="17"/>
  <c r="L134" i="17"/>
  <c r="G166" i="17"/>
  <c r="L220" i="17"/>
  <c r="C220" i="15"/>
  <c r="I136" i="15"/>
  <c r="H136" i="15"/>
  <c r="L220" i="15"/>
  <c r="H220" i="15"/>
  <c r="I166" i="15"/>
  <c r="C166" i="15"/>
  <c r="G135" i="15"/>
  <c r="K166" i="15"/>
  <c r="G166" i="15"/>
  <c r="C165" i="15"/>
  <c r="N134" i="15"/>
  <c r="G136" i="17"/>
  <c r="T245" i="17"/>
  <c r="U245" i="17" s="1"/>
  <c r="V245" i="17" s="1"/>
  <c r="L219" i="17"/>
  <c r="D219" i="17"/>
  <c r="C136" i="17"/>
  <c r="J134" i="17"/>
  <c r="M134" i="17"/>
  <c r="E134" i="17"/>
  <c r="N134" i="17"/>
  <c r="M165" i="17"/>
  <c r="K165" i="17"/>
  <c r="F165" i="17"/>
  <c r="E165" i="17"/>
  <c r="I134" i="17"/>
  <c r="I219" i="17"/>
  <c r="N165" i="17"/>
  <c r="D165" i="17"/>
  <c r="F219" i="17"/>
  <c r="M135" i="17"/>
  <c r="H135" i="17"/>
  <c r="I135" i="17"/>
  <c r="N135" i="17"/>
  <c r="L135" i="17"/>
  <c r="J135" i="17"/>
  <c r="E219" i="17"/>
  <c r="H219" i="17"/>
  <c r="C219" i="17"/>
  <c r="K135" i="17"/>
  <c r="T244" i="17"/>
  <c r="U244" i="17" s="1"/>
  <c r="V244" i="17" s="1"/>
  <c r="I218" i="17"/>
  <c r="K218" i="17"/>
  <c r="C218" i="17"/>
  <c r="G218" i="17"/>
  <c r="J218" i="17"/>
  <c r="F218" i="17"/>
  <c r="G165" i="17"/>
  <c r="L218" i="17"/>
  <c r="C134" i="17"/>
  <c r="C165" i="17"/>
  <c r="D134" i="17"/>
  <c r="G220" i="17"/>
  <c r="N220" i="17"/>
  <c r="I220" i="17"/>
  <c r="C220" i="17"/>
  <c r="G134" i="17"/>
  <c r="I165" i="17"/>
  <c r="C135" i="17"/>
  <c r="K219" i="17"/>
  <c r="D218" i="17"/>
  <c r="M136" i="17"/>
  <c r="F136" i="17"/>
  <c r="K136" i="17"/>
  <c r="L136" i="17"/>
  <c r="E136" i="17"/>
  <c r="J136" i="17"/>
  <c r="N136" i="17"/>
  <c r="D136" i="17"/>
  <c r="J165" i="17"/>
  <c r="L165" i="17"/>
  <c r="T246" i="17"/>
  <c r="U246" i="17" s="1"/>
  <c r="V246" i="17" s="1"/>
  <c r="M220" i="17"/>
  <c r="N219" i="17"/>
  <c r="H136" i="17"/>
  <c r="D166" i="17"/>
  <c r="H166" i="17"/>
  <c r="N166" i="17"/>
  <c r="M166" i="17"/>
  <c r="L166" i="17"/>
  <c r="J166" i="17"/>
  <c r="E166" i="17"/>
  <c r="F166" i="17"/>
  <c r="D220" i="17"/>
  <c r="E135" i="17"/>
  <c r="F135" i="17"/>
  <c r="D135" i="17"/>
  <c r="K134" i="17"/>
  <c r="I166" i="17"/>
  <c r="K167" i="15"/>
  <c r="I165" i="15"/>
  <c r="L165" i="15"/>
  <c r="D165" i="15"/>
  <c r="F165" i="15"/>
  <c r="M165" i="15"/>
  <c r="F167" i="15"/>
  <c r="G136" i="15"/>
  <c r="C134" i="15"/>
  <c r="H165" i="15"/>
  <c r="M167" i="15"/>
  <c r="F218" i="15"/>
  <c r="G165" i="15"/>
  <c r="T246" i="15"/>
  <c r="U246" i="15" s="1"/>
  <c r="V246" i="15" s="1"/>
  <c r="J220" i="15"/>
  <c r="I220" i="15"/>
  <c r="F220" i="15"/>
  <c r="E220" i="15"/>
  <c r="K220" i="15"/>
  <c r="D220" i="15"/>
  <c r="M220" i="15"/>
  <c r="N165" i="15"/>
  <c r="L167" i="15"/>
  <c r="N220" i="15"/>
  <c r="E136" i="15"/>
  <c r="I167" i="15"/>
  <c r="K165" i="15"/>
  <c r="J135" i="15"/>
  <c r="J134" i="15"/>
  <c r="C167" i="15"/>
  <c r="D167" i="15"/>
  <c r="J166" i="15"/>
  <c r="H166" i="15"/>
  <c r="M166" i="15"/>
  <c r="N166" i="15"/>
  <c r="E166" i="15"/>
  <c r="N167" i="15"/>
  <c r="D166" i="15"/>
  <c r="T245" i="15"/>
  <c r="U245" i="15" s="1"/>
  <c r="V245" i="15" s="1"/>
  <c r="I219" i="15"/>
  <c r="E219" i="15"/>
  <c r="M219" i="15"/>
  <c r="G219" i="15"/>
  <c r="H219" i="15"/>
  <c r="D219" i="15"/>
  <c r="K219" i="15"/>
  <c r="T244" i="15"/>
  <c r="U244" i="15" s="1"/>
  <c r="V244" i="15" s="1"/>
  <c r="I218" i="15"/>
  <c r="J218" i="15"/>
  <c r="K218" i="15"/>
  <c r="N218" i="15"/>
  <c r="C218" i="15"/>
  <c r="G218" i="15"/>
  <c r="M218" i="15"/>
  <c r="H167" i="15"/>
  <c r="J167" i="15"/>
  <c r="H218" i="15"/>
  <c r="L218" i="15"/>
  <c r="E135" i="15"/>
  <c r="I135" i="15"/>
  <c r="L135" i="15"/>
  <c r="M135" i="15"/>
  <c r="F135" i="15"/>
  <c r="N136" i="15"/>
  <c r="J136" i="15"/>
  <c r="F136" i="15"/>
  <c r="M136" i="15"/>
  <c r="E218" i="15"/>
  <c r="D135" i="15"/>
  <c r="F134" i="15"/>
  <c r="M134" i="15"/>
  <c r="H134" i="15"/>
  <c r="E134" i="15"/>
  <c r="D134" i="15"/>
  <c r="L134" i="15"/>
  <c r="E165" i="15"/>
  <c r="E167" i="15"/>
  <c r="D136" i="15"/>
  <c r="L166" i="15"/>
  <c r="G134" i="15"/>
  <c r="N135" i="15"/>
  <c r="C135" i="15"/>
  <c r="K135" i="15"/>
  <c r="K136" i="15"/>
  <c r="N116" i="20" l="1"/>
  <c r="W214" i="17"/>
  <c r="N122" i="20" s="1"/>
  <c r="W214" i="15"/>
  <c r="L122" i="20" s="1"/>
  <c r="L116" i="20"/>
  <c r="N115" i="20"/>
  <c r="W213" i="17"/>
  <c r="N121" i="20" s="1"/>
  <c r="W215" i="15"/>
  <c r="L123" i="20" s="1"/>
  <c r="L117" i="20"/>
  <c r="N117" i="20"/>
  <c r="W215" i="17"/>
  <c r="N123" i="20" s="1"/>
  <c r="W213" i="15"/>
  <c r="L121" i="20" s="1"/>
  <c r="L115" i="20"/>
  <c r="T218" i="17"/>
  <c r="T220" i="17"/>
  <c r="T219" i="17"/>
  <c r="T219" i="15"/>
  <c r="T218" i="15"/>
  <c r="T220" i="15"/>
  <c r="T134" i="17"/>
  <c r="T136" i="17"/>
  <c r="T166" i="17"/>
  <c r="T167" i="17"/>
  <c r="T135" i="17"/>
  <c r="T165" i="17"/>
  <c r="T167" i="15"/>
  <c r="T165" i="15"/>
  <c r="T166" i="15"/>
  <c r="T134" i="15"/>
  <c r="T135" i="15"/>
  <c r="T136" i="15"/>
  <c r="L133" i="20"/>
  <c r="L127" i="20"/>
  <c r="L134" i="20"/>
  <c r="L128" i="20"/>
  <c r="N133" i="20"/>
  <c r="N127" i="20"/>
  <c r="L135" i="20"/>
  <c r="L129" i="20"/>
  <c r="N135" i="20"/>
  <c r="N129" i="20"/>
  <c r="N134" i="20"/>
  <c r="N128" i="20"/>
  <c r="Q49" i="1" l="1"/>
  <c r="Q80" i="1" s="1"/>
  <c r="R49" i="1"/>
  <c r="R80" i="1" s="1"/>
  <c r="T49" i="1"/>
  <c r="R48" i="1"/>
  <c r="R79" i="1" s="1"/>
  <c r="Q48" i="1"/>
  <c r="Q79" i="1" s="1"/>
  <c r="T48" i="1"/>
  <c r="R47" i="1"/>
  <c r="R78" i="1" s="1"/>
  <c r="Q47" i="1"/>
  <c r="Q78" i="1" s="1"/>
  <c r="T47" i="1"/>
  <c r="R43" i="1"/>
  <c r="R74" i="1" s="1"/>
  <c r="Q43" i="1"/>
  <c r="Q74" i="1" s="1"/>
  <c r="T43" i="1"/>
  <c r="R42" i="1"/>
  <c r="R73" i="1" s="1"/>
  <c r="Q42" i="1"/>
  <c r="Q73" i="1" s="1"/>
  <c r="T42" i="1"/>
  <c r="R41" i="1"/>
  <c r="R72" i="1" s="1"/>
  <c r="Q41" i="1"/>
  <c r="Q72" i="1" s="1"/>
  <c r="T41" i="1"/>
  <c r="R37" i="1"/>
  <c r="R68" i="1" s="1"/>
  <c r="Q37" i="1"/>
  <c r="Q68" i="1" s="1"/>
  <c r="T37" i="1"/>
  <c r="R36" i="1"/>
  <c r="R67" i="1" s="1"/>
  <c r="Q36" i="1"/>
  <c r="Q67" i="1" s="1"/>
  <c r="T36" i="1"/>
  <c r="R35" i="1"/>
  <c r="R66" i="1" s="1"/>
  <c r="Q35" i="1"/>
  <c r="Q66" i="1" s="1"/>
  <c r="T35" i="1"/>
  <c r="N93" i="2"/>
  <c r="M93" i="2"/>
  <c r="L93" i="2"/>
  <c r="K93" i="2"/>
  <c r="J93" i="2"/>
  <c r="I93" i="2"/>
  <c r="H93" i="2"/>
  <c r="G93" i="2"/>
  <c r="F93" i="2"/>
  <c r="E93" i="2"/>
  <c r="D93" i="2"/>
  <c r="C93" i="2"/>
  <c r="N92" i="2"/>
  <c r="M92" i="2"/>
  <c r="L92" i="2"/>
  <c r="K92" i="2"/>
  <c r="J92" i="2"/>
  <c r="I92" i="2"/>
  <c r="H92" i="2"/>
  <c r="G92" i="2"/>
  <c r="F92" i="2"/>
  <c r="E92" i="2"/>
  <c r="D92" i="2"/>
  <c r="C92" i="2"/>
  <c r="N91" i="2"/>
  <c r="M91" i="2"/>
  <c r="L91" i="2"/>
  <c r="K91" i="2"/>
  <c r="J91" i="2"/>
  <c r="I91" i="2"/>
  <c r="H91" i="2"/>
  <c r="G91" i="2"/>
  <c r="F91" i="2"/>
  <c r="E91" i="2"/>
  <c r="D91" i="2"/>
  <c r="C91" i="2"/>
  <c r="N90" i="2"/>
  <c r="M90" i="2"/>
  <c r="L90" i="2"/>
  <c r="K90" i="2"/>
  <c r="J90" i="2"/>
  <c r="I90" i="2"/>
  <c r="H90" i="2"/>
  <c r="G90" i="2"/>
  <c r="F90" i="2"/>
  <c r="E90" i="2"/>
  <c r="D90" i="2"/>
  <c r="C90" i="2"/>
  <c r="N90" i="1"/>
  <c r="M90" i="1"/>
  <c r="L90" i="1"/>
  <c r="K90" i="1"/>
  <c r="J90" i="1"/>
  <c r="I90" i="1"/>
  <c r="H90" i="1"/>
  <c r="G90" i="1"/>
  <c r="F90" i="1"/>
  <c r="E90" i="1"/>
  <c r="D90" i="1"/>
  <c r="C90" i="1"/>
  <c r="C46" i="1" l="1"/>
  <c r="C40" i="1"/>
  <c r="N34" i="23"/>
  <c r="M34" i="23"/>
  <c r="L34" i="23"/>
  <c r="K34" i="23"/>
  <c r="J34" i="23"/>
  <c r="I34" i="23"/>
  <c r="H34" i="23"/>
  <c r="G34" i="23"/>
  <c r="F34" i="23"/>
  <c r="E34" i="23"/>
  <c r="D34" i="23"/>
  <c r="C34" i="1"/>
  <c r="C34" i="23" s="1"/>
  <c r="F52" i="23" l="1"/>
  <c r="F65" i="23"/>
  <c r="F176" i="23"/>
  <c r="F141" i="23"/>
  <c r="F110" i="23"/>
  <c r="F116" i="23"/>
  <c r="F186" i="23"/>
  <c r="F231" i="23" s="1"/>
  <c r="F71" i="23"/>
  <c r="F147" i="23"/>
  <c r="F122" i="23"/>
  <c r="F206" i="23"/>
  <c r="F237" i="23" s="1"/>
  <c r="F77" i="23"/>
  <c r="F153" i="23"/>
  <c r="N206" i="23"/>
  <c r="N237" i="23" s="1"/>
  <c r="N153" i="23"/>
  <c r="N77" i="23"/>
  <c r="N122" i="23"/>
  <c r="K65" i="23"/>
  <c r="K176" i="23"/>
  <c r="R34" i="23"/>
  <c r="R65" i="23" s="1"/>
  <c r="K141" i="23"/>
  <c r="K110" i="23"/>
  <c r="K52" i="23"/>
  <c r="G116" i="23"/>
  <c r="G147" i="23"/>
  <c r="G186" i="23"/>
  <c r="G71" i="23"/>
  <c r="Q40" i="23"/>
  <c r="Q71" i="23" s="1"/>
  <c r="C153" i="23"/>
  <c r="C77" i="23"/>
  <c r="C122" i="23"/>
  <c r="C206" i="23"/>
  <c r="D110" i="23"/>
  <c r="D141" i="23"/>
  <c r="D65" i="23"/>
  <c r="D176" i="23"/>
  <c r="L110" i="23"/>
  <c r="L141" i="23"/>
  <c r="L52" i="23"/>
  <c r="L176" i="23"/>
  <c r="L65" i="23"/>
  <c r="D116" i="23"/>
  <c r="D147" i="23"/>
  <c r="D71" i="23"/>
  <c r="D186" i="23"/>
  <c r="D231" i="23" s="1"/>
  <c r="H116" i="23"/>
  <c r="H147" i="23"/>
  <c r="H71" i="23"/>
  <c r="H186" i="23"/>
  <c r="H231" i="23" s="1"/>
  <c r="L116" i="23"/>
  <c r="L147" i="23"/>
  <c r="L186" i="23"/>
  <c r="L231" i="23" s="1"/>
  <c r="L71" i="23"/>
  <c r="D206" i="1"/>
  <c r="D52" i="23"/>
  <c r="H122" i="23"/>
  <c r="H153" i="23"/>
  <c r="H77" i="23"/>
  <c r="H206" i="23"/>
  <c r="H237" i="23" s="1"/>
  <c r="L122" i="23"/>
  <c r="L153" i="23"/>
  <c r="L77" i="23"/>
  <c r="L206" i="23"/>
  <c r="L237" i="23" s="1"/>
  <c r="J52" i="23"/>
  <c r="J141" i="23"/>
  <c r="J65" i="23"/>
  <c r="J176" i="23"/>
  <c r="J110" i="23"/>
  <c r="N110" i="23"/>
  <c r="N141" i="23"/>
  <c r="N52" i="23"/>
  <c r="N65" i="23"/>
  <c r="N176" i="23"/>
  <c r="J116" i="23"/>
  <c r="J71" i="23"/>
  <c r="J147" i="23"/>
  <c r="J186" i="23"/>
  <c r="J231" i="23" s="1"/>
  <c r="N147" i="23"/>
  <c r="N186" i="23"/>
  <c r="N231" i="23" s="1"/>
  <c r="N116" i="23"/>
  <c r="N71" i="23"/>
  <c r="J122" i="23"/>
  <c r="J77" i="23"/>
  <c r="J153" i="23"/>
  <c r="J206" i="23"/>
  <c r="J237" i="23" s="1"/>
  <c r="C52" i="23"/>
  <c r="C141" i="23"/>
  <c r="C110" i="23"/>
  <c r="C176" i="23"/>
  <c r="T34" i="23"/>
  <c r="C65" i="23"/>
  <c r="G110" i="23"/>
  <c r="Q34" i="23"/>
  <c r="Q65" i="23" s="1"/>
  <c r="G176" i="23"/>
  <c r="G141" i="23"/>
  <c r="G65" i="23"/>
  <c r="G52" i="23"/>
  <c r="C147" i="23"/>
  <c r="C71" i="23"/>
  <c r="C116" i="23"/>
  <c r="T40" i="23"/>
  <c r="C186" i="23"/>
  <c r="K147" i="23"/>
  <c r="R147" i="23" s="1"/>
  <c r="K71" i="23"/>
  <c r="R40" i="23"/>
  <c r="R71" i="23" s="1"/>
  <c r="K186" i="23"/>
  <c r="K116" i="23"/>
  <c r="G77" i="23"/>
  <c r="G122" i="23"/>
  <c r="Q46" i="23"/>
  <c r="Q77" i="23" s="1"/>
  <c r="G153" i="23"/>
  <c r="Q153" i="23" s="1"/>
  <c r="G206" i="23"/>
  <c r="K153" i="23"/>
  <c r="R153" i="23" s="1"/>
  <c r="K206" i="23"/>
  <c r="K77" i="23"/>
  <c r="K122" i="23"/>
  <c r="R122" i="23" s="1"/>
  <c r="R46" i="23"/>
  <c r="R77" i="23" s="1"/>
  <c r="H110" i="23"/>
  <c r="H52" i="23"/>
  <c r="H141" i="23"/>
  <c r="H65" i="23"/>
  <c r="H176" i="23"/>
  <c r="E65" i="23"/>
  <c r="E176" i="23"/>
  <c r="E141" i="23"/>
  <c r="E52" i="23"/>
  <c r="E110" i="23"/>
  <c r="I110" i="23"/>
  <c r="I176" i="23"/>
  <c r="I65" i="23"/>
  <c r="I52" i="23"/>
  <c r="I141" i="23"/>
  <c r="M110" i="23"/>
  <c r="M141" i="23"/>
  <c r="M65" i="23"/>
  <c r="M52" i="23"/>
  <c r="M176" i="23"/>
  <c r="E116" i="23"/>
  <c r="E71" i="23"/>
  <c r="E186" i="23"/>
  <c r="E231" i="23" s="1"/>
  <c r="E147" i="23"/>
  <c r="I71" i="23"/>
  <c r="I186" i="23"/>
  <c r="I231" i="23" s="1"/>
  <c r="I116" i="23"/>
  <c r="I147" i="23"/>
  <c r="M71" i="23"/>
  <c r="M116" i="23"/>
  <c r="M186" i="23"/>
  <c r="M231" i="23" s="1"/>
  <c r="M147" i="23"/>
  <c r="E122" i="23"/>
  <c r="E153" i="23"/>
  <c r="E206" i="23"/>
  <c r="E237" i="23" s="1"/>
  <c r="E77" i="23"/>
  <c r="I77" i="23"/>
  <c r="I153" i="23"/>
  <c r="I122" i="23"/>
  <c r="I206" i="23"/>
  <c r="I237" i="23" s="1"/>
  <c r="M77" i="23"/>
  <c r="M206" i="23"/>
  <c r="M237" i="23" s="1"/>
  <c r="M122" i="23"/>
  <c r="M153" i="23"/>
  <c r="R34" i="1"/>
  <c r="R65" i="1" s="1"/>
  <c r="R40" i="1"/>
  <c r="R71" i="1" s="1"/>
  <c r="R46" i="1"/>
  <c r="R77" i="1" s="1"/>
  <c r="T34" i="1"/>
  <c r="Q34" i="1"/>
  <c r="Q65" i="1" s="1"/>
  <c r="T40" i="1"/>
  <c r="Q40" i="1"/>
  <c r="Q71" i="1" s="1"/>
  <c r="T46" i="1"/>
  <c r="Q46" i="1"/>
  <c r="Q77" i="1" s="1"/>
  <c r="C34" i="18"/>
  <c r="C141" i="18" s="1"/>
  <c r="C34" i="21"/>
  <c r="K34" i="18"/>
  <c r="K141" i="18" s="1"/>
  <c r="K34" i="21"/>
  <c r="D34" i="18"/>
  <c r="D141" i="18" s="1"/>
  <c r="D34" i="21"/>
  <c r="H34" i="18"/>
  <c r="H141" i="18" s="1"/>
  <c r="H34" i="21"/>
  <c r="L34" i="18"/>
  <c r="L141" i="18" s="1"/>
  <c r="L34" i="21"/>
  <c r="D147" i="18"/>
  <c r="H147" i="18"/>
  <c r="L147" i="18"/>
  <c r="G34" i="18"/>
  <c r="G141" i="18" s="1"/>
  <c r="G34" i="21"/>
  <c r="E34" i="18"/>
  <c r="E141" i="18" s="1"/>
  <c r="E34" i="21"/>
  <c r="M34" i="18"/>
  <c r="M141" i="18" s="1"/>
  <c r="M34" i="21"/>
  <c r="E147" i="18"/>
  <c r="I147" i="18"/>
  <c r="M147" i="18"/>
  <c r="I34" i="18"/>
  <c r="I141" i="18" s="1"/>
  <c r="I34" i="21"/>
  <c r="F34" i="18"/>
  <c r="F34" i="21"/>
  <c r="J34" i="18"/>
  <c r="J141" i="18" s="1"/>
  <c r="J34" i="21"/>
  <c r="N34" i="18"/>
  <c r="N141" i="18" s="1"/>
  <c r="N34" i="21"/>
  <c r="F147" i="18"/>
  <c r="J147" i="18"/>
  <c r="N147" i="18"/>
  <c r="D153" i="19"/>
  <c r="L153" i="19"/>
  <c r="E153" i="19"/>
  <c r="I153" i="19"/>
  <c r="J153" i="19"/>
  <c r="N153" i="19"/>
  <c r="D147" i="19"/>
  <c r="H147" i="19"/>
  <c r="L147" i="19"/>
  <c r="E147" i="19"/>
  <c r="I147" i="19"/>
  <c r="M147" i="19"/>
  <c r="F147" i="19"/>
  <c r="J147" i="19"/>
  <c r="N147" i="19"/>
  <c r="C34" i="19"/>
  <c r="G34" i="19"/>
  <c r="K34" i="19"/>
  <c r="D34" i="19"/>
  <c r="D141" i="19" s="1"/>
  <c r="H34" i="19"/>
  <c r="H141" i="19" s="1"/>
  <c r="L34" i="19"/>
  <c r="L141" i="19" s="1"/>
  <c r="E34" i="19"/>
  <c r="E141" i="19" s="1"/>
  <c r="I34" i="19"/>
  <c r="I141" i="19" s="1"/>
  <c r="M34" i="19"/>
  <c r="M141" i="19" s="1"/>
  <c r="F34" i="19"/>
  <c r="F141" i="19" s="1"/>
  <c r="J34" i="19"/>
  <c r="J141" i="19" s="1"/>
  <c r="N34" i="19"/>
  <c r="N141" i="19" s="1"/>
  <c r="C147" i="18"/>
  <c r="G186" i="1"/>
  <c r="H147" i="17"/>
  <c r="H147" i="15"/>
  <c r="E147" i="17"/>
  <c r="E147" i="15"/>
  <c r="M147" i="17"/>
  <c r="M147" i="15"/>
  <c r="D147" i="17"/>
  <c r="D147" i="15"/>
  <c r="L147" i="17"/>
  <c r="L147" i="15"/>
  <c r="I147" i="17"/>
  <c r="I147" i="15"/>
  <c r="F147" i="17"/>
  <c r="F147" i="15"/>
  <c r="J147" i="17"/>
  <c r="J147" i="15"/>
  <c r="N147" i="17"/>
  <c r="N147" i="15"/>
  <c r="D34" i="17"/>
  <c r="D141" i="17" s="1"/>
  <c r="D34" i="15"/>
  <c r="D141" i="15" s="1"/>
  <c r="C34" i="17"/>
  <c r="C34" i="15"/>
  <c r="G34" i="17"/>
  <c r="G34" i="15"/>
  <c r="K34" i="17"/>
  <c r="K34" i="15"/>
  <c r="H34" i="17"/>
  <c r="H141" i="17" s="1"/>
  <c r="H34" i="15"/>
  <c r="H141" i="15" s="1"/>
  <c r="E34" i="17"/>
  <c r="E141" i="17" s="1"/>
  <c r="E34" i="15"/>
  <c r="E141" i="15" s="1"/>
  <c r="I34" i="17"/>
  <c r="I141" i="17" s="1"/>
  <c r="I34" i="15"/>
  <c r="I141" i="15" s="1"/>
  <c r="M34" i="17"/>
  <c r="M141" i="17" s="1"/>
  <c r="M34" i="15"/>
  <c r="M141" i="15" s="1"/>
  <c r="L34" i="17"/>
  <c r="L141" i="17" s="1"/>
  <c r="L34" i="15"/>
  <c r="L141" i="15" s="1"/>
  <c r="F34" i="17"/>
  <c r="F141" i="17" s="1"/>
  <c r="F141" i="18"/>
  <c r="F34" i="15"/>
  <c r="F141" i="15" s="1"/>
  <c r="J34" i="17"/>
  <c r="J141" i="17" s="1"/>
  <c r="J34" i="15"/>
  <c r="J141" i="15" s="1"/>
  <c r="N34" i="17"/>
  <c r="N141" i="17" s="1"/>
  <c r="N34" i="15"/>
  <c r="N141" i="15" s="1"/>
  <c r="D206" i="2"/>
  <c r="G34" i="5"/>
  <c r="G34" i="2"/>
  <c r="L34" i="5"/>
  <c r="L34" i="2"/>
  <c r="E34" i="5"/>
  <c r="E34" i="2"/>
  <c r="I34" i="5"/>
  <c r="I34" i="2"/>
  <c r="M34" i="5"/>
  <c r="M34" i="2"/>
  <c r="C34" i="5"/>
  <c r="C34" i="2"/>
  <c r="K34" i="5"/>
  <c r="K34" i="2"/>
  <c r="D34" i="5"/>
  <c r="D34" i="2"/>
  <c r="H34" i="5"/>
  <c r="H34" i="2"/>
  <c r="F34" i="5"/>
  <c r="F34" i="2"/>
  <c r="J34" i="2"/>
  <c r="J34" i="5"/>
  <c r="N34" i="5"/>
  <c r="N34" i="2"/>
  <c r="J159" i="19" l="1"/>
  <c r="N159" i="19"/>
  <c r="L159" i="19"/>
  <c r="D159" i="19"/>
  <c r="M159" i="23"/>
  <c r="L159" i="23"/>
  <c r="F128" i="23"/>
  <c r="T46" i="23"/>
  <c r="Q116" i="23"/>
  <c r="F159" i="23"/>
  <c r="T116" i="23"/>
  <c r="H128" i="23"/>
  <c r="Q122" i="23"/>
  <c r="J159" i="23"/>
  <c r="D269" i="23"/>
  <c r="D96" i="23"/>
  <c r="D102" i="23" s="1"/>
  <c r="D257" i="23"/>
  <c r="D83" i="23"/>
  <c r="E96" i="23"/>
  <c r="E102" i="23" s="1"/>
  <c r="E83" i="23"/>
  <c r="E269" i="23"/>
  <c r="E257" i="23"/>
  <c r="H212" i="23"/>
  <c r="H225" i="23"/>
  <c r="K237" i="23"/>
  <c r="R206" i="23"/>
  <c r="K231" i="23"/>
  <c r="R186" i="23"/>
  <c r="G212" i="23"/>
  <c r="G225" i="23"/>
  <c r="Q176" i="23"/>
  <c r="C83" i="23"/>
  <c r="C257" i="23"/>
  <c r="A52" i="23"/>
  <c r="C269" i="23"/>
  <c r="C96" i="23"/>
  <c r="C102" i="23" s="1"/>
  <c r="T52" i="23"/>
  <c r="J57" i="23" s="1"/>
  <c r="N159" i="23"/>
  <c r="T147" i="23"/>
  <c r="M225" i="23"/>
  <c r="M212" i="23"/>
  <c r="M243" i="23" s="1"/>
  <c r="M128" i="23"/>
  <c r="I225" i="23"/>
  <c r="I212" i="23"/>
  <c r="E159" i="23"/>
  <c r="W52" i="23"/>
  <c r="F96" i="20" s="1"/>
  <c r="G257" i="23"/>
  <c r="G83" i="23"/>
  <c r="G269" i="23"/>
  <c r="Q52" i="23"/>
  <c r="G96" i="23"/>
  <c r="G102" i="23" s="1"/>
  <c r="C212" i="23"/>
  <c r="T176" i="23"/>
  <c r="T225" i="23" s="1"/>
  <c r="C225" i="23"/>
  <c r="A206" i="23"/>
  <c r="N212" i="23"/>
  <c r="N225" i="23"/>
  <c r="L128" i="23"/>
  <c r="K96" i="23"/>
  <c r="K102" i="23" s="1"/>
  <c r="K257" i="23"/>
  <c r="R52" i="23"/>
  <c r="K83" i="23"/>
  <c r="K269" i="23"/>
  <c r="R176" i="23"/>
  <c r="K225" i="23"/>
  <c r="K212" i="23"/>
  <c r="F225" i="23"/>
  <c r="F212" i="23"/>
  <c r="C231" i="23"/>
  <c r="T186" i="23"/>
  <c r="T231" i="23" s="1"/>
  <c r="M96" i="23"/>
  <c r="M102" i="23" s="1"/>
  <c r="M257" i="23"/>
  <c r="M83" i="23"/>
  <c r="M269" i="23"/>
  <c r="I159" i="23"/>
  <c r="I128" i="23"/>
  <c r="E225" i="23"/>
  <c r="E212" i="23"/>
  <c r="H159" i="23"/>
  <c r="Q206" i="23"/>
  <c r="G237" i="23"/>
  <c r="G128" i="23"/>
  <c r="Q110" i="23"/>
  <c r="C128" i="23"/>
  <c r="T110" i="23"/>
  <c r="N128" i="23"/>
  <c r="J128" i="23"/>
  <c r="J96" i="23"/>
  <c r="J102" i="23" s="1"/>
  <c r="J257" i="23"/>
  <c r="J83" i="23"/>
  <c r="J269" i="23"/>
  <c r="L225" i="23"/>
  <c r="L212" i="23"/>
  <c r="D225" i="23"/>
  <c r="G231" i="23"/>
  <c r="Q186" i="23"/>
  <c r="K128" i="23"/>
  <c r="R110" i="23"/>
  <c r="I96" i="23"/>
  <c r="I102" i="23" s="1"/>
  <c r="I269" i="23"/>
  <c r="I83" i="23"/>
  <c r="I257" i="23"/>
  <c r="E128" i="23"/>
  <c r="H83" i="23"/>
  <c r="H96" i="23"/>
  <c r="H102" i="23" s="1"/>
  <c r="H269" i="23"/>
  <c r="H257" i="23"/>
  <c r="R116" i="23"/>
  <c r="Q141" i="23"/>
  <c r="G159" i="23"/>
  <c r="T141" i="23"/>
  <c r="C159" i="23"/>
  <c r="N96" i="23"/>
  <c r="N102" i="23" s="1"/>
  <c r="N269" i="23"/>
  <c r="N257" i="23"/>
  <c r="N83" i="23"/>
  <c r="J212" i="23"/>
  <c r="J225" i="23"/>
  <c r="D122" i="23"/>
  <c r="T122" i="23" s="1"/>
  <c r="D206" i="23"/>
  <c r="D237" i="23" s="1"/>
  <c r="D153" i="23"/>
  <c r="D159" i="23" s="1"/>
  <c r="D77" i="23"/>
  <c r="L83" i="23"/>
  <c r="L96" i="23"/>
  <c r="L102" i="23" s="1"/>
  <c r="L269" i="23"/>
  <c r="L257" i="23"/>
  <c r="C237" i="23"/>
  <c r="Q147" i="23"/>
  <c r="R141" i="23"/>
  <c r="K159" i="23"/>
  <c r="F96" i="23"/>
  <c r="F102" i="23" s="1"/>
  <c r="F257" i="23"/>
  <c r="F83" i="23"/>
  <c r="F269" i="23"/>
  <c r="R34" i="5"/>
  <c r="R40" i="5"/>
  <c r="R34" i="2"/>
  <c r="R40" i="2"/>
  <c r="Q34" i="2"/>
  <c r="Q40" i="2"/>
  <c r="R40" i="18"/>
  <c r="R71" i="18" s="1"/>
  <c r="Q40" i="5"/>
  <c r="T46" i="2"/>
  <c r="Q34" i="5"/>
  <c r="K141" i="17"/>
  <c r="R141" i="17" s="1"/>
  <c r="R34" i="17"/>
  <c r="R65" i="17" s="1"/>
  <c r="C141" i="17"/>
  <c r="T34" i="17"/>
  <c r="K147" i="17"/>
  <c r="R147" i="17" s="1"/>
  <c r="R40" i="17"/>
  <c r="R71" i="17" s="1"/>
  <c r="Q40" i="18"/>
  <c r="Q71" i="18" s="1"/>
  <c r="K141" i="15"/>
  <c r="R141" i="15" s="1"/>
  <c r="R34" i="15"/>
  <c r="R65" i="15" s="1"/>
  <c r="G141" i="15"/>
  <c r="Q141" i="15" s="1"/>
  <c r="Q34" i="15"/>
  <c r="Q65" i="15" s="1"/>
  <c r="C141" i="15"/>
  <c r="T34" i="15"/>
  <c r="K147" i="15"/>
  <c r="R147" i="15" s="1"/>
  <c r="R40" i="15"/>
  <c r="R71" i="15" s="1"/>
  <c r="G147" i="15"/>
  <c r="Q147" i="15" s="1"/>
  <c r="Q40" i="15"/>
  <c r="Q71" i="15" s="1"/>
  <c r="C147" i="17"/>
  <c r="T40" i="17"/>
  <c r="T46" i="17"/>
  <c r="Q46" i="17"/>
  <c r="Q77" i="17" s="1"/>
  <c r="R46" i="17"/>
  <c r="R77" i="17" s="1"/>
  <c r="K141" i="19"/>
  <c r="R34" i="19"/>
  <c r="R65" i="19" s="1"/>
  <c r="C141" i="19"/>
  <c r="T34" i="19"/>
  <c r="G147" i="19"/>
  <c r="Q147" i="19" s="1"/>
  <c r="Q40" i="19"/>
  <c r="Q71" i="19" s="1"/>
  <c r="C147" i="19"/>
  <c r="T40" i="19"/>
  <c r="K147" i="19"/>
  <c r="R147" i="19" s="1"/>
  <c r="R40" i="19"/>
  <c r="R71" i="19" s="1"/>
  <c r="K153" i="19"/>
  <c r="R153" i="19" s="1"/>
  <c r="R46" i="19"/>
  <c r="R77" i="19" s="1"/>
  <c r="C153" i="19"/>
  <c r="T46" i="19"/>
  <c r="T40" i="21"/>
  <c r="Q40" i="21"/>
  <c r="Q71" i="21" s="1"/>
  <c r="R40" i="21"/>
  <c r="R71" i="21" s="1"/>
  <c r="T34" i="18"/>
  <c r="T34" i="5"/>
  <c r="T40" i="5"/>
  <c r="Q46" i="5"/>
  <c r="Q77" i="5" s="1"/>
  <c r="G141" i="17"/>
  <c r="Q141" i="17" s="1"/>
  <c r="Q34" i="17"/>
  <c r="Q65" i="17" s="1"/>
  <c r="T40" i="18"/>
  <c r="T34" i="21"/>
  <c r="T34" i="2"/>
  <c r="T40" i="2"/>
  <c r="R46" i="2"/>
  <c r="R77" i="2" s="1"/>
  <c r="C147" i="15"/>
  <c r="T40" i="15"/>
  <c r="Q46" i="18"/>
  <c r="Q77" i="18" s="1"/>
  <c r="T46" i="18"/>
  <c r="Q34" i="21"/>
  <c r="Q65" i="21" s="1"/>
  <c r="R46" i="18"/>
  <c r="R77" i="18" s="1"/>
  <c r="R34" i="21"/>
  <c r="R65" i="21" s="1"/>
  <c r="G147" i="17"/>
  <c r="Q147" i="17" s="1"/>
  <c r="Q40" i="17"/>
  <c r="Q71" i="17" s="1"/>
  <c r="R46" i="5"/>
  <c r="R77" i="5" s="1"/>
  <c r="Q46" i="2"/>
  <c r="Q77" i="2" s="1"/>
  <c r="T46" i="5"/>
  <c r="R141" i="18"/>
  <c r="Q141" i="18"/>
  <c r="T141" i="18"/>
  <c r="K147" i="18"/>
  <c r="R147" i="18" s="1"/>
  <c r="G147" i="18"/>
  <c r="Q147" i="18" s="1"/>
  <c r="T46" i="15"/>
  <c r="Q46" i="15"/>
  <c r="Q77" i="15" s="1"/>
  <c r="R46" i="15"/>
  <c r="R77" i="15" s="1"/>
  <c r="G141" i="19"/>
  <c r="Q141" i="19" s="1"/>
  <c r="Q34" i="19"/>
  <c r="Q65" i="19" s="1"/>
  <c r="G153" i="19"/>
  <c r="Q153" i="19" s="1"/>
  <c r="Q46" i="19"/>
  <c r="Q77" i="19" s="1"/>
  <c r="Q46" i="21"/>
  <c r="Q77" i="21" s="1"/>
  <c r="T46" i="21"/>
  <c r="Q34" i="18"/>
  <c r="Q65" i="18" s="1"/>
  <c r="R46" i="21"/>
  <c r="R77" i="21" s="1"/>
  <c r="R34" i="18"/>
  <c r="R65" i="18" s="1"/>
  <c r="N52" i="21"/>
  <c r="N176" i="21"/>
  <c r="N110" i="21"/>
  <c r="N141" i="21"/>
  <c r="N65" i="21"/>
  <c r="F52" i="21"/>
  <c r="F110" i="21"/>
  <c r="F65" i="21"/>
  <c r="F141" i="21"/>
  <c r="F176" i="21"/>
  <c r="M65" i="21"/>
  <c r="M176" i="21"/>
  <c r="M110" i="21"/>
  <c r="M52" i="21"/>
  <c r="M141" i="21"/>
  <c r="G65" i="21"/>
  <c r="G110" i="21"/>
  <c r="G176" i="21"/>
  <c r="Q176" i="21" s="1"/>
  <c r="G141" i="21"/>
  <c r="G52" i="21"/>
  <c r="H65" i="21"/>
  <c r="H52" i="21"/>
  <c r="H176" i="21"/>
  <c r="H110" i="21"/>
  <c r="H141" i="21"/>
  <c r="K141" i="21"/>
  <c r="K52" i="21"/>
  <c r="K110" i="21"/>
  <c r="K176" i="21"/>
  <c r="K65" i="21"/>
  <c r="N77" i="21"/>
  <c r="N122" i="21"/>
  <c r="N206" i="21"/>
  <c r="N237" i="21" s="1"/>
  <c r="N153" i="21"/>
  <c r="F77" i="21"/>
  <c r="F206" i="21"/>
  <c r="F237" i="21" s="1"/>
  <c r="F122" i="21"/>
  <c r="F153" i="21"/>
  <c r="J71" i="21"/>
  <c r="J186" i="21"/>
  <c r="J231" i="21" s="1"/>
  <c r="J116" i="21"/>
  <c r="J147" i="21"/>
  <c r="G122" i="21"/>
  <c r="G206" i="21"/>
  <c r="G77" i="21"/>
  <c r="G153" i="21"/>
  <c r="Q153" i="21" s="1"/>
  <c r="M77" i="21"/>
  <c r="M122" i="21"/>
  <c r="M206" i="21"/>
  <c r="M237" i="21" s="1"/>
  <c r="M153" i="21"/>
  <c r="E153" i="21"/>
  <c r="E122" i="21"/>
  <c r="E77" i="21"/>
  <c r="E206" i="21"/>
  <c r="E237" i="21" s="1"/>
  <c r="I147" i="21"/>
  <c r="I71" i="21"/>
  <c r="I116" i="21"/>
  <c r="I186" i="21"/>
  <c r="I231" i="21" s="1"/>
  <c r="C153" i="21"/>
  <c r="C206" i="21"/>
  <c r="C122" i="21"/>
  <c r="C77" i="21"/>
  <c r="H77" i="21"/>
  <c r="H153" i="21"/>
  <c r="H122" i="21"/>
  <c r="H206" i="21"/>
  <c r="H237" i="21" s="1"/>
  <c r="L71" i="21"/>
  <c r="L147" i="21"/>
  <c r="L186" i="21"/>
  <c r="L231" i="21" s="1"/>
  <c r="L116" i="21"/>
  <c r="D71" i="21"/>
  <c r="D147" i="21"/>
  <c r="D186" i="21"/>
  <c r="D231" i="21" s="1"/>
  <c r="D116" i="21"/>
  <c r="K122" i="21"/>
  <c r="K153" i="21"/>
  <c r="K77" i="21"/>
  <c r="K206" i="21"/>
  <c r="J52" i="21"/>
  <c r="J141" i="21"/>
  <c r="J110" i="21"/>
  <c r="J176" i="21"/>
  <c r="J65" i="21"/>
  <c r="I52" i="21"/>
  <c r="I141" i="21"/>
  <c r="I65" i="21"/>
  <c r="I176" i="21"/>
  <c r="I110" i="21"/>
  <c r="E141" i="21"/>
  <c r="E52" i="21"/>
  <c r="E110" i="21"/>
  <c r="E65" i="21"/>
  <c r="E176" i="21"/>
  <c r="L65" i="21"/>
  <c r="L141" i="21"/>
  <c r="L110" i="21"/>
  <c r="L52" i="21"/>
  <c r="L176" i="21"/>
  <c r="D65" i="21"/>
  <c r="D141" i="21"/>
  <c r="D176" i="21"/>
  <c r="D110" i="21"/>
  <c r="D52" i="21"/>
  <c r="C141" i="21"/>
  <c r="C110" i="21"/>
  <c r="C52" i="21"/>
  <c r="C176" i="21"/>
  <c r="C65" i="21"/>
  <c r="J77" i="21"/>
  <c r="J153" i="21"/>
  <c r="J122" i="21"/>
  <c r="J206" i="21"/>
  <c r="J237" i="21" s="1"/>
  <c r="N71" i="21"/>
  <c r="N147" i="21"/>
  <c r="N116" i="21"/>
  <c r="N186" i="21"/>
  <c r="N231" i="21" s="1"/>
  <c r="F71" i="21"/>
  <c r="F147" i="21"/>
  <c r="F116" i="21"/>
  <c r="F186" i="21"/>
  <c r="F231" i="21" s="1"/>
  <c r="C116" i="21"/>
  <c r="C186" i="21"/>
  <c r="C71" i="21"/>
  <c r="C147" i="21"/>
  <c r="I153" i="21"/>
  <c r="I206" i="21"/>
  <c r="I237" i="21" s="1"/>
  <c r="I77" i="21"/>
  <c r="I122" i="21"/>
  <c r="M71" i="21"/>
  <c r="M116" i="21"/>
  <c r="M147" i="21"/>
  <c r="M186" i="21"/>
  <c r="M231" i="21" s="1"/>
  <c r="E186" i="21"/>
  <c r="E231" i="21" s="1"/>
  <c r="E147" i="21"/>
  <c r="E71" i="21"/>
  <c r="E116" i="21"/>
  <c r="G116" i="21"/>
  <c r="G186" i="21"/>
  <c r="G71" i="21"/>
  <c r="G147" i="21"/>
  <c r="L77" i="21"/>
  <c r="L206" i="21"/>
  <c r="L237" i="21" s="1"/>
  <c r="L153" i="21"/>
  <c r="L122" i="21"/>
  <c r="D77" i="21"/>
  <c r="D206" i="21"/>
  <c r="D237" i="21" s="1"/>
  <c r="D122" i="21"/>
  <c r="D153" i="21"/>
  <c r="H71" i="21"/>
  <c r="H116" i="21"/>
  <c r="H186" i="21"/>
  <c r="H231" i="21" s="1"/>
  <c r="H147" i="21"/>
  <c r="K71" i="21"/>
  <c r="K147" i="21"/>
  <c r="K186" i="21"/>
  <c r="K116" i="21"/>
  <c r="I159" i="19"/>
  <c r="E159" i="19"/>
  <c r="D110" i="2"/>
  <c r="D141" i="2"/>
  <c r="M110" i="2"/>
  <c r="M141" i="2"/>
  <c r="I110" i="2"/>
  <c r="I141" i="2"/>
  <c r="G110" i="2"/>
  <c r="G141" i="2"/>
  <c r="H116" i="2"/>
  <c r="H147" i="2"/>
  <c r="C116" i="2"/>
  <c r="C147" i="2"/>
  <c r="E116" i="2"/>
  <c r="E147" i="2"/>
  <c r="L116" i="2"/>
  <c r="L147" i="2"/>
  <c r="N122" i="2"/>
  <c r="N153" i="2"/>
  <c r="F122" i="2"/>
  <c r="F153" i="2"/>
  <c r="M122" i="2"/>
  <c r="M153" i="2"/>
  <c r="E122" i="2"/>
  <c r="E153" i="2"/>
  <c r="J122" i="15"/>
  <c r="J153" i="15"/>
  <c r="J159" i="15" s="1"/>
  <c r="G122" i="15"/>
  <c r="G153" i="15"/>
  <c r="L122" i="15"/>
  <c r="L153" i="15"/>
  <c r="L159" i="15" s="1"/>
  <c r="D122" i="15"/>
  <c r="D153" i="15"/>
  <c r="D159" i="15" s="1"/>
  <c r="K122" i="15"/>
  <c r="K153" i="15"/>
  <c r="N110" i="2"/>
  <c r="N141" i="2"/>
  <c r="F110" i="2"/>
  <c r="F141" i="2"/>
  <c r="N116" i="2"/>
  <c r="N147" i="2"/>
  <c r="F116" i="5"/>
  <c r="F147" i="5"/>
  <c r="H122" i="5"/>
  <c r="H153" i="5"/>
  <c r="D122" i="5"/>
  <c r="D153" i="5"/>
  <c r="K122" i="5"/>
  <c r="K153" i="5"/>
  <c r="G122" i="2"/>
  <c r="Q122" i="2" s="1"/>
  <c r="G153" i="2"/>
  <c r="Q153" i="2" s="1"/>
  <c r="C122" i="5"/>
  <c r="C153" i="5"/>
  <c r="N122" i="15"/>
  <c r="N153" i="15"/>
  <c r="N159" i="15" s="1"/>
  <c r="F122" i="15"/>
  <c r="F153" i="15"/>
  <c r="F159" i="15" s="1"/>
  <c r="M122" i="15"/>
  <c r="M153" i="15"/>
  <c r="M159" i="15" s="1"/>
  <c r="I122" i="15"/>
  <c r="I153" i="15"/>
  <c r="I159" i="15" s="1"/>
  <c r="E122" i="15"/>
  <c r="E153" i="15"/>
  <c r="E159" i="15" s="1"/>
  <c r="H122" i="15"/>
  <c r="H153" i="15"/>
  <c r="H159" i="15" s="1"/>
  <c r="F122" i="19"/>
  <c r="F153" i="19"/>
  <c r="F159" i="19" s="1"/>
  <c r="K110" i="2"/>
  <c r="K141" i="2"/>
  <c r="L110" i="2"/>
  <c r="L141" i="2"/>
  <c r="F116" i="2"/>
  <c r="F147" i="2"/>
  <c r="M116" i="2"/>
  <c r="M147" i="2"/>
  <c r="G116" i="2"/>
  <c r="Q116" i="2" s="1"/>
  <c r="G147" i="2"/>
  <c r="Q147" i="2" s="1"/>
  <c r="K122" i="2"/>
  <c r="K153" i="2"/>
  <c r="N110" i="5"/>
  <c r="N141" i="5"/>
  <c r="J110" i="2"/>
  <c r="J141" i="2"/>
  <c r="F110" i="5"/>
  <c r="F141" i="5"/>
  <c r="H110" i="5"/>
  <c r="H141" i="5"/>
  <c r="D110" i="5"/>
  <c r="D141" i="5"/>
  <c r="K110" i="5"/>
  <c r="K141" i="5"/>
  <c r="C110" i="5"/>
  <c r="C141" i="5"/>
  <c r="M110" i="5"/>
  <c r="M141" i="5"/>
  <c r="I110" i="5"/>
  <c r="I141" i="5"/>
  <c r="E110" i="5"/>
  <c r="E141" i="5"/>
  <c r="L110" i="5"/>
  <c r="L141" i="5"/>
  <c r="G110" i="5"/>
  <c r="G141" i="5"/>
  <c r="J116" i="5"/>
  <c r="J147" i="5"/>
  <c r="H116" i="5"/>
  <c r="H147" i="5"/>
  <c r="K116" i="5"/>
  <c r="K147" i="5"/>
  <c r="C116" i="5"/>
  <c r="C147" i="5"/>
  <c r="M116" i="5"/>
  <c r="M147" i="5"/>
  <c r="I116" i="2"/>
  <c r="I147" i="2"/>
  <c r="E116" i="5"/>
  <c r="E147" i="5"/>
  <c r="L116" i="5"/>
  <c r="L147" i="5"/>
  <c r="D116" i="5"/>
  <c r="D147" i="5"/>
  <c r="G116" i="5"/>
  <c r="G147" i="5"/>
  <c r="N122" i="5"/>
  <c r="N153" i="5"/>
  <c r="J122" i="5"/>
  <c r="J153" i="5"/>
  <c r="F122" i="5"/>
  <c r="F153" i="5"/>
  <c r="M122" i="5"/>
  <c r="M153" i="5"/>
  <c r="I122" i="5"/>
  <c r="I153" i="5"/>
  <c r="E122" i="5"/>
  <c r="E153" i="5"/>
  <c r="L122" i="5"/>
  <c r="L153" i="5"/>
  <c r="G122" i="5"/>
  <c r="G153" i="5"/>
  <c r="C122" i="2"/>
  <c r="C153" i="2"/>
  <c r="N122" i="18"/>
  <c r="N153" i="18"/>
  <c r="N159" i="18" s="1"/>
  <c r="J122" i="18"/>
  <c r="J153" i="18"/>
  <c r="J159" i="18" s="1"/>
  <c r="F122" i="18"/>
  <c r="F153" i="18"/>
  <c r="F159" i="18" s="1"/>
  <c r="C122" i="18"/>
  <c r="C153" i="18"/>
  <c r="M122" i="18"/>
  <c r="M153" i="18"/>
  <c r="M159" i="18" s="1"/>
  <c r="I122" i="18"/>
  <c r="I153" i="18"/>
  <c r="I159" i="18" s="1"/>
  <c r="E122" i="18"/>
  <c r="E153" i="18"/>
  <c r="E159" i="18" s="1"/>
  <c r="G122" i="18"/>
  <c r="G153" i="18"/>
  <c r="L122" i="18"/>
  <c r="L153" i="18"/>
  <c r="L159" i="18" s="1"/>
  <c r="H122" i="18"/>
  <c r="H153" i="18"/>
  <c r="H159" i="18" s="1"/>
  <c r="D122" i="18"/>
  <c r="D153" i="18"/>
  <c r="D159" i="18" s="1"/>
  <c r="K122" i="18"/>
  <c r="K153" i="18"/>
  <c r="J110" i="5"/>
  <c r="J141" i="5"/>
  <c r="H110" i="2"/>
  <c r="H141" i="2"/>
  <c r="C110" i="2"/>
  <c r="C141" i="2"/>
  <c r="E110" i="2"/>
  <c r="E141" i="2"/>
  <c r="N116" i="5"/>
  <c r="N147" i="5"/>
  <c r="K116" i="2"/>
  <c r="K147" i="2"/>
  <c r="I116" i="5"/>
  <c r="I147" i="5"/>
  <c r="D116" i="2"/>
  <c r="D147" i="2"/>
  <c r="J122" i="2"/>
  <c r="J153" i="2"/>
  <c r="I122" i="2"/>
  <c r="I153" i="2"/>
  <c r="L122" i="2"/>
  <c r="L153" i="2"/>
  <c r="C122" i="15"/>
  <c r="C153" i="15"/>
  <c r="J116" i="2"/>
  <c r="J147" i="2"/>
  <c r="H122" i="2"/>
  <c r="H153" i="2"/>
  <c r="D122" i="2"/>
  <c r="D153" i="2"/>
  <c r="N122" i="17"/>
  <c r="N153" i="17"/>
  <c r="N159" i="17" s="1"/>
  <c r="J122" i="17"/>
  <c r="J153" i="17"/>
  <c r="J159" i="17" s="1"/>
  <c r="F122" i="17"/>
  <c r="F153" i="17"/>
  <c r="F159" i="17" s="1"/>
  <c r="C122" i="17"/>
  <c r="C153" i="17"/>
  <c r="M122" i="17"/>
  <c r="M153" i="17"/>
  <c r="M159" i="17" s="1"/>
  <c r="I122" i="17"/>
  <c r="I153" i="17"/>
  <c r="I159" i="17" s="1"/>
  <c r="E122" i="17"/>
  <c r="E153" i="17"/>
  <c r="E159" i="17" s="1"/>
  <c r="G122" i="17"/>
  <c r="G153" i="17"/>
  <c r="L122" i="17"/>
  <c r="L153" i="17"/>
  <c r="L159" i="17" s="1"/>
  <c r="H122" i="17"/>
  <c r="H153" i="17"/>
  <c r="H159" i="17" s="1"/>
  <c r="D122" i="17"/>
  <c r="D153" i="17"/>
  <c r="D159" i="17" s="1"/>
  <c r="K122" i="17"/>
  <c r="K153" i="17"/>
  <c r="M122" i="19"/>
  <c r="M153" i="19"/>
  <c r="M159" i="19" s="1"/>
  <c r="H122" i="19"/>
  <c r="H153" i="19"/>
  <c r="H159" i="19" s="1"/>
  <c r="I176" i="15"/>
  <c r="I110" i="15"/>
  <c r="J186" i="15"/>
  <c r="J231" i="15" s="1"/>
  <c r="J116" i="15"/>
  <c r="I186" i="15"/>
  <c r="I231" i="15" s="1"/>
  <c r="I116" i="15"/>
  <c r="L186" i="15"/>
  <c r="L231" i="15" s="1"/>
  <c r="L116" i="15"/>
  <c r="D186" i="15"/>
  <c r="D231" i="15" s="1"/>
  <c r="D116" i="15"/>
  <c r="H186" i="15"/>
  <c r="H231" i="15" s="1"/>
  <c r="H116" i="15"/>
  <c r="C186" i="15"/>
  <c r="C116" i="15"/>
  <c r="N176" i="18"/>
  <c r="N110" i="18"/>
  <c r="J176" i="18"/>
  <c r="J110" i="18"/>
  <c r="F176" i="18"/>
  <c r="F110" i="18"/>
  <c r="L176" i="18"/>
  <c r="L110" i="18"/>
  <c r="M176" i="18"/>
  <c r="M110" i="18"/>
  <c r="I176" i="18"/>
  <c r="I110" i="18"/>
  <c r="E176" i="18"/>
  <c r="E110" i="18"/>
  <c r="H176" i="18"/>
  <c r="H110" i="18"/>
  <c r="K176" i="18"/>
  <c r="K110" i="18"/>
  <c r="G176" i="18"/>
  <c r="G110" i="18"/>
  <c r="C176" i="18"/>
  <c r="C110" i="18"/>
  <c r="D176" i="18"/>
  <c r="D110" i="18"/>
  <c r="N186" i="18"/>
  <c r="N231" i="18" s="1"/>
  <c r="N116" i="18"/>
  <c r="J186" i="18"/>
  <c r="J231" i="18" s="1"/>
  <c r="J116" i="18"/>
  <c r="F186" i="18"/>
  <c r="F231" i="18" s="1"/>
  <c r="F116" i="18"/>
  <c r="I186" i="18"/>
  <c r="I231" i="18" s="1"/>
  <c r="I116" i="18"/>
  <c r="L186" i="18"/>
  <c r="L231" i="18" s="1"/>
  <c r="L116" i="18"/>
  <c r="D186" i="18"/>
  <c r="D231" i="18" s="1"/>
  <c r="D116" i="18"/>
  <c r="M186" i="18"/>
  <c r="M231" i="18" s="1"/>
  <c r="M116" i="18"/>
  <c r="E186" i="18"/>
  <c r="E231" i="18" s="1"/>
  <c r="E116" i="18"/>
  <c r="H186" i="18"/>
  <c r="H231" i="18" s="1"/>
  <c r="H116" i="18"/>
  <c r="K186" i="18"/>
  <c r="K116" i="18"/>
  <c r="G186" i="18"/>
  <c r="Q186" i="18" s="1"/>
  <c r="G116" i="18"/>
  <c r="Q116" i="18" s="1"/>
  <c r="N176" i="19"/>
  <c r="N225" i="19" s="1"/>
  <c r="N110" i="19"/>
  <c r="F176" i="19"/>
  <c r="F225" i="19" s="1"/>
  <c r="F110" i="19"/>
  <c r="I176" i="19"/>
  <c r="I225" i="19" s="1"/>
  <c r="I110" i="19"/>
  <c r="L176" i="19"/>
  <c r="L225" i="19" s="1"/>
  <c r="L110" i="19"/>
  <c r="D176" i="19"/>
  <c r="D225" i="19" s="1"/>
  <c r="D110" i="19"/>
  <c r="G176" i="19"/>
  <c r="G110" i="19"/>
  <c r="N186" i="19"/>
  <c r="N231" i="19" s="1"/>
  <c r="N116" i="19"/>
  <c r="F186" i="19"/>
  <c r="F231" i="19" s="1"/>
  <c r="F116" i="19"/>
  <c r="M186" i="19"/>
  <c r="M231" i="19" s="1"/>
  <c r="M116" i="19"/>
  <c r="E186" i="19"/>
  <c r="E231" i="19" s="1"/>
  <c r="E116" i="19"/>
  <c r="L186" i="19"/>
  <c r="L231" i="19" s="1"/>
  <c r="L116" i="19"/>
  <c r="D186" i="19"/>
  <c r="D231" i="19" s="1"/>
  <c r="D116" i="19"/>
  <c r="N77" i="19"/>
  <c r="N122" i="19"/>
  <c r="I206" i="19"/>
  <c r="I237" i="19" s="1"/>
  <c r="I122" i="19"/>
  <c r="L206" i="19"/>
  <c r="L237" i="19" s="1"/>
  <c r="L122" i="19"/>
  <c r="D206" i="19"/>
  <c r="D237" i="19" s="1"/>
  <c r="D122" i="19"/>
  <c r="G206" i="19"/>
  <c r="G122" i="19"/>
  <c r="Q122" i="19" s="1"/>
  <c r="N176" i="17"/>
  <c r="N110" i="17"/>
  <c r="J176" i="17"/>
  <c r="J110" i="17"/>
  <c r="F176" i="17"/>
  <c r="F110" i="17"/>
  <c r="L176" i="17"/>
  <c r="L110" i="17"/>
  <c r="M176" i="17"/>
  <c r="M110" i="17"/>
  <c r="I176" i="17"/>
  <c r="I110" i="17"/>
  <c r="E176" i="17"/>
  <c r="E110" i="17"/>
  <c r="H176" i="17"/>
  <c r="H110" i="17"/>
  <c r="K176" i="17"/>
  <c r="K110" i="17"/>
  <c r="G176" i="17"/>
  <c r="G110" i="17"/>
  <c r="C176" i="17"/>
  <c r="C110" i="17"/>
  <c r="D176" i="17"/>
  <c r="D110" i="17"/>
  <c r="N186" i="17"/>
  <c r="N231" i="17" s="1"/>
  <c r="N116" i="17"/>
  <c r="J186" i="17"/>
  <c r="J231" i="17" s="1"/>
  <c r="J116" i="17"/>
  <c r="F186" i="17"/>
  <c r="F231" i="17" s="1"/>
  <c r="F116" i="17"/>
  <c r="I186" i="17"/>
  <c r="I231" i="17" s="1"/>
  <c r="I116" i="17"/>
  <c r="L186" i="17"/>
  <c r="L231" i="17" s="1"/>
  <c r="L116" i="17"/>
  <c r="D186" i="17"/>
  <c r="D231" i="17" s="1"/>
  <c r="D116" i="17"/>
  <c r="M186" i="17"/>
  <c r="M231" i="17" s="1"/>
  <c r="M116" i="17"/>
  <c r="E186" i="17"/>
  <c r="E231" i="17" s="1"/>
  <c r="E116" i="17"/>
  <c r="H186" i="17"/>
  <c r="H231" i="17" s="1"/>
  <c r="H116" i="17"/>
  <c r="K186" i="17"/>
  <c r="K116" i="17"/>
  <c r="G186" i="17"/>
  <c r="Q186" i="17" s="1"/>
  <c r="G116" i="17"/>
  <c r="Q116" i="17" s="1"/>
  <c r="C186" i="18"/>
  <c r="C116" i="18"/>
  <c r="N176" i="15"/>
  <c r="N110" i="15"/>
  <c r="J176" i="15"/>
  <c r="J110" i="15"/>
  <c r="F176" i="15"/>
  <c r="F110" i="15"/>
  <c r="L176" i="15"/>
  <c r="L110" i="15"/>
  <c r="M176" i="15"/>
  <c r="M110" i="15"/>
  <c r="E176" i="15"/>
  <c r="E110" i="15"/>
  <c r="H176" i="15"/>
  <c r="H110" i="15"/>
  <c r="K176" i="15"/>
  <c r="K110" i="15"/>
  <c r="G176" i="15"/>
  <c r="G110" i="15"/>
  <c r="C176" i="15"/>
  <c r="A206" i="15" s="1"/>
  <c r="C110" i="15"/>
  <c r="D176" i="15"/>
  <c r="D110" i="15"/>
  <c r="N186" i="15"/>
  <c r="N231" i="15" s="1"/>
  <c r="N116" i="15"/>
  <c r="F186" i="15"/>
  <c r="F231" i="15" s="1"/>
  <c r="F116" i="15"/>
  <c r="M186" i="15"/>
  <c r="M231" i="15" s="1"/>
  <c r="M116" i="15"/>
  <c r="E186" i="15"/>
  <c r="E231" i="15" s="1"/>
  <c r="E116" i="15"/>
  <c r="K186" i="15"/>
  <c r="K116" i="15"/>
  <c r="G186" i="15"/>
  <c r="G116" i="15"/>
  <c r="C186" i="17"/>
  <c r="C116" i="17"/>
  <c r="J176" i="19"/>
  <c r="J225" i="19" s="1"/>
  <c r="J110" i="19"/>
  <c r="M176" i="19"/>
  <c r="M225" i="19" s="1"/>
  <c r="M110" i="19"/>
  <c r="E176" i="19"/>
  <c r="E225" i="19" s="1"/>
  <c r="E110" i="19"/>
  <c r="H176" i="19"/>
  <c r="H225" i="19" s="1"/>
  <c r="H110" i="19"/>
  <c r="K176" i="19"/>
  <c r="K110" i="19"/>
  <c r="C176" i="19"/>
  <c r="C110" i="19"/>
  <c r="J186" i="19"/>
  <c r="J231" i="19" s="1"/>
  <c r="J116" i="19"/>
  <c r="G186" i="19"/>
  <c r="G116" i="19"/>
  <c r="I186" i="19"/>
  <c r="I231" i="19" s="1"/>
  <c r="I116" i="19"/>
  <c r="C186" i="19"/>
  <c r="C116" i="19"/>
  <c r="H186" i="19"/>
  <c r="H231" i="19" s="1"/>
  <c r="H116" i="19"/>
  <c r="K186" i="19"/>
  <c r="K116" i="19"/>
  <c r="J206" i="19"/>
  <c r="J237" i="19" s="1"/>
  <c r="J122" i="19"/>
  <c r="E206" i="19"/>
  <c r="E237" i="19" s="1"/>
  <c r="E122" i="19"/>
  <c r="K122" i="19"/>
  <c r="C77" i="19"/>
  <c r="C122" i="19"/>
  <c r="E77" i="19"/>
  <c r="K77" i="19"/>
  <c r="H77" i="19"/>
  <c r="M77" i="19"/>
  <c r="I71" i="19"/>
  <c r="J77" i="19"/>
  <c r="K206" i="19"/>
  <c r="K71" i="19"/>
  <c r="C71" i="19"/>
  <c r="H65" i="19"/>
  <c r="H71" i="19"/>
  <c r="E65" i="19"/>
  <c r="G71" i="19"/>
  <c r="K52" i="19"/>
  <c r="C52" i="19"/>
  <c r="N71" i="19"/>
  <c r="N206" i="19"/>
  <c r="N237" i="19" s="1"/>
  <c r="J71" i="19"/>
  <c r="J52" i="19"/>
  <c r="F65" i="19"/>
  <c r="M71" i="19"/>
  <c r="E71" i="19"/>
  <c r="M65" i="19"/>
  <c r="E52" i="19"/>
  <c r="L71" i="19"/>
  <c r="L65" i="19"/>
  <c r="G77" i="19"/>
  <c r="G65" i="19"/>
  <c r="N65" i="19"/>
  <c r="D71" i="19"/>
  <c r="F206" i="19"/>
  <c r="F237" i="19" s="1"/>
  <c r="F71" i="19"/>
  <c r="F52" i="19"/>
  <c r="D65" i="19"/>
  <c r="M206" i="19"/>
  <c r="M237" i="19" s="1"/>
  <c r="I65" i="19"/>
  <c r="H206" i="19"/>
  <c r="H237" i="19" s="1"/>
  <c r="C206" i="19"/>
  <c r="K65" i="19"/>
  <c r="J65" i="19"/>
  <c r="M52" i="19"/>
  <c r="H52" i="19"/>
  <c r="G52" i="19"/>
  <c r="C65" i="19"/>
  <c r="I52" i="19"/>
  <c r="F77" i="19"/>
  <c r="N52" i="19"/>
  <c r="I77" i="19"/>
  <c r="D77" i="19"/>
  <c r="L77" i="19"/>
  <c r="L52" i="19"/>
  <c r="D52" i="19"/>
  <c r="J206" i="15"/>
  <c r="J237" i="15" s="1"/>
  <c r="J77" i="15"/>
  <c r="G77" i="15"/>
  <c r="G206" i="15"/>
  <c r="L77" i="15"/>
  <c r="L206" i="15"/>
  <c r="L237" i="15" s="1"/>
  <c r="K206" i="15"/>
  <c r="K77" i="15"/>
  <c r="N206" i="15"/>
  <c r="N237" i="15" s="1"/>
  <c r="N77" i="15"/>
  <c r="F206" i="15"/>
  <c r="F237" i="15" s="1"/>
  <c r="F77" i="15"/>
  <c r="M206" i="15"/>
  <c r="M237" i="15" s="1"/>
  <c r="M77" i="15"/>
  <c r="I206" i="15"/>
  <c r="I237" i="15" s="1"/>
  <c r="I77" i="15"/>
  <c r="E206" i="15"/>
  <c r="E237" i="15" s="1"/>
  <c r="E77" i="15"/>
  <c r="H206" i="15"/>
  <c r="H237" i="15" s="1"/>
  <c r="H77" i="15"/>
  <c r="C77" i="15"/>
  <c r="C206" i="15"/>
  <c r="N77" i="18"/>
  <c r="N206" i="18"/>
  <c r="N237" i="18" s="1"/>
  <c r="J77" i="18"/>
  <c r="J206" i="18"/>
  <c r="J237" i="18" s="1"/>
  <c r="F206" i="18"/>
  <c r="F237" i="18" s="1"/>
  <c r="F77" i="18"/>
  <c r="C206" i="18"/>
  <c r="C77" i="18"/>
  <c r="M77" i="18"/>
  <c r="M206" i="18"/>
  <c r="M237" i="18" s="1"/>
  <c r="I77" i="18"/>
  <c r="I206" i="18"/>
  <c r="I237" i="18" s="1"/>
  <c r="E206" i="18"/>
  <c r="E237" i="18" s="1"/>
  <c r="E77" i="18"/>
  <c r="G77" i="18"/>
  <c r="G206" i="18"/>
  <c r="L77" i="18"/>
  <c r="L206" i="18"/>
  <c r="L237" i="18" s="1"/>
  <c r="H77" i="18"/>
  <c r="H206" i="18"/>
  <c r="H237" i="18" s="1"/>
  <c r="D206" i="18"/>
  <c r="D237" i="18" s="1"/>
  <c r="D77" i="18"/>
  <c r="K77" i="18"/>
  <c r="K206" i="18"/>
  <c r="D206" i="15"/>
  <c r="D237" i="15" s="1"/>
  <c r="D77" i="15"/>
  <c r="N77" i="17"/>
  <c r="N206" i="17"/>
  <c r="N237" i="17" s="1"/>
  <c r="J77" i="17"/>
  <c r="J206" i="17"/>
  <c r="J237" i="17" s="1"/>
  <c r="F77" i="17"/>
  <c r="F206" i="17"/>
  <c r="F237" i="17" s="1"/>
  <c r="C77" i="17"/>
  <c r="C206" i="17"/>
  <c r="M206" i="17"/>
  <c r="M237" i="17" s="1"/>
  <c r="M77" i="17"/>
  <c r="I206" i="17"/>
  <c r="I237" i="17" s="1"/>
  <c r="I77" i="17"/>
  <c r="E77" i="17"/>
  <c r="E206" i="17"/>
  <c r="E237" i="17" s="1"/>
  <c r="G206" i="17"/>
  <c r="G77" i="17"/>
  <c r="L77" i="17"/>
  <c r="L206" i="17"/>
  <c r="L237" i="17" s="1"/>
  <c r="H206" i="17"/>
  <c r="H237" i="17" s="1"/>
  <c r="H77" i="17"/>
  <c r="D77" i="17"/>
  <c r="D206" i="17"/>
  <c r="D237" i="17" s="1"/>
  <c r="K206" i="17"/>
  <c r="K77" i="17"/>
  <c r="F71" i="18"/>
  <c r="D71" i="18"/>
  <c r="E71" i="18"/>
  <c r="K71" i="18"/>
  <c r="J71" i="15"/>
  <c r="I71" i="15"/>
  <c r="L71" i="15"/>
  <c r="D71" i="15"/>
  <c r="H71" i="15"/>
  <c r="C71" i="15"/>
  <c r="N71" i="18"/>
  <c r="I71" i="18"/>
  <c r="M71" i="18"/>
  <c r="G71" i="18"/>
  <c r="N71" i="17"/>
  <c r="J71" i="17"/>
  <c r="F71" i="17"/>
  <c r="I71" i="17"/>
  <c r="L71" i="17"/>
  <c r="D71" i="17"/>
  <c r="M71" i="17"/>
  <c r="E71" i="17"/>
  <c r="H71" i="17"/>
  <c r="K71" i="17"/>
  <c r="G71" i="17"/>
  <c r="C71" i="18"/>
  <c r="J71" i="18"/>
  <c r="L71" i="18"/>
  <c r="H71" i="18"/>
  <c r="N71" i="15"/>
  <c r="F71" i="15"/>
  <c r="M71" i="15"/>
  <c r="E71" i="15"/>
  <c r="K71" i="15"/>
  <c r="G71" i="15"/>
  <c r="C71" i="17"/>
  <c r="I65" i="15"/>
  <c r="I52" i="15"/>
  <c r="N52" i="15"/>
  <c r="N65" i="15"/>
  <c r="J52" i="15"/>
  <c r="J65" i="15"/>
  <c r="F52" i="15"/>
  <c r="F65" i="15"/>
  <c r="L52" i="15"/>
  <c r="L65" i="15"/>
  <c r="M65" i="15"/>
  <c r="M52" i="15"/>
  <c r="E65" i="15"/>
  <c r="E52" i="15"/>
  <c r="H65" i="15"/>
  <c r="H52" i="15"/>
  <c r="K52" i="15"/>
  <c r="K65" i="15"/>
  <c r="G65" i="15"/>
  <c r="G52" i="15"/>
  <c r="C65" i="15"/>
  <c r="C52" i="15"/>
  <c r="D65" i="15"/>
  <c r="D52" i="15"/>
  <c r="N52" i="18"/>
  <c r="N65" i="18"/>
  <c r="J52" i="18"/>
  <c r="J65" i="18"/>
  <c r="F52" i="18"/>
  <c r="F65" i="18"/>
  <c r="L65" i="18"/>
  <c r="L52" i="18"/>
  <c r="M65" i="18"/>
  <c r="M52" i="18"/>
  <c r="I65" i="18"/>
  <c r="I52" i="18"/>
  <c r="E65" i="18"/>
  <c r="E52" i="18"/>
  <c r="H65" i="18"/>
  <c r="H52" i="18"/>
  <c r="K52" i="18"/>
  <c r="K65" i="18"/>
  <c r="G52" i="18"/>
  <c r="G65" i="18"/>
  <c r="C52" i="18"/>
  <c r="C65" i="18"/>
  <c r="D65" i="18"/>
  <c r="D52" i="18"/>
  <c r="N65" i="17"/>
  <c r="N52" i="17"/>
  <c r="J52" i="17"/>
  <c r="J65" i="17"/>
  <c r="F52" i="17"/>
  <c r="F65" i="17"/>
  <c r="L65" i="17"/>
  <c r="L52" i="17"/>
  <c r="M52" i="17"/>
  <c r="M65" i="17"/>
  <c r="I52" i="17"/>
  <c r="I65" i="17"/>
  <c r="E65" i="17"/>
  <c r="E52" i="17"/>
  <c r="H52" i="17"/>
  <c r="H65" i="17"/>
  <c r="K52" i="17"/>
  <c r="K65" i="17"/>
  <c r="G52" i="17"/>
  <c r="G65" i="17"/>
  <c r="C52" i="17"/>
  <c r="C65" i="17"/>
  <c r="D52" i="17"/>
  <c r="D65" i="17"/>
  <c r="L57" i="23" l="1"/>
  <c r="H57" i="23"/>
  <c r="M57" i="23"/>
  <c r="K57" i="23"/>
  <c r="R186" i="15"/>
  <c r="Q116" i="15"/>
  <c r="Q153" i="5"/>
  <c r="Q122" i="5"/>
  <c r="Q186" i="15"/>
  <c r="R116" i="15"/>
  <c r="F57" i="23"/>
  <c r="N57" i="23"/>
  <c r="I57" i="23"/>
  <c r="E57" i="23"/>
  <c r="F90" i="20"/>
  <c r="E275" i="23"/>
  <c r="I275" i="23"/>
  <c r="T206" i="23"/>
  <c r="T237" i="23" s="1"/>
  <c r="C57" i="23"/>
  <c r="F275" i="23"/>
  <c r="J275" i="23"/>
  <c r="T269" i="23"/>
  <c r="D275" i="23"/>
  <c r="G257" i="15"/>
  <c r="G269" i="15"/>
  <c r="L269" i="21"/>
  <c r="L257" i="21"/>
  <c r="N257" i="21"/>
  <c r="N269" i="21"/>
  <c r="L243" i="23"/>
  <c r="Q128" i="23"/>
  <c r="E243" i="23"/>
  <c r="K243" i="23"/>
  <c r="R212" i="23"/>
  <c r="R269" i="23"/>
  <c r="Q269" i="23"/>
  <c r="H243" i="23"/>
  <c r="L269" i="17"/>
  <c r="L257" i="17"/>
  <c r="D269" i="18"/>
  <c r="D257" i="18"/>
  <c r="H269" i="18"/>
  <c r="H257" i="18"/>
  <c r="I257" i="18"/>
  <c r="I269" i="18"/>
  <c r="L269" i="18"/>
  <c r="L257" i="18"/>
  <c r="D269" i="15"/>
  <c r="D257" i="15"/>
  <c r="H269" i="15"/>
  <c r="H257" i="15"/>
  <c r="I269" i="15"/>
  <c r="I257" i="15"/>
  <c r="D257" i="19"/>
  <c r="D269" i="19"/>
  <c r="D269" i="17"/>
  <c r="D257" i="17"/>
  <c r="H269" i="17"/>
  <c r="H257" i="17"/>
  <c r="I257" i="17"/>
  <c r="I269" i="17"/>
  <c r="J257" i="17"/>
  <c r="J269" i="17"/>
  <c r="J269" i="18"/>
  <c r="J257" i="18"/>
  <c r="L257" i="15"/>
  <c r="L269" i="15"/>
  <c r="L257" i="19"/>
  <c r="L269" i="19"/>
  <c r="N269" i="19"/>
  <c r="N257" i="19"/>
  <c r="F269" i="19"/>
  <c r="F257" i="19"/>
  <c r="I269" i="21"/>
  <c r="I257" i="21"/>
  <c r="G257" i="21"/>
  <c r="G269" i="21"/>
  <c r="Q269" i="21" s="1"/>
  <c r="T159" i="23"/>
  <c r="G164" i="23" s="1"/>
  <c r="D128" i="23"/>
  <c r="N243" i="23"/>
  <c r="C243" i="23"/>
  <c r="I243" i="23"/>
  <c r="E269" i="17"/>
  <c r="E257" i="17"/>
  <c r="N257" i="17"/>
  <c r="N269" i="17"/>
  <c r="E269" i="18"/>
  <c r="E257" i="18"/>
  <c r="M257" i="18"/>
  <c r="M269" i="18"/>
  <c r="C269" i="15"/>
  <c r="C257" i="15"/>
  <c r="E269" i="15"/>
  <c r="E257" i="15"/>
  <c r="M269" i="15"/>
  <c r="M257" i="15"/>
  <c r="H269" i="19"/>
  <c r="H257" i="19"/>
  <c r="E257" i="19"/>
  <c r="E269" i="19"/>
  <c r="D269" i="21"/>
  <c r="D257" i="21"/>
  <c r="J257" i="21"/>
  <c r="J269" i="21"/>
  <c r="K257" i="21"/>
  <c r="K269" i="21"/>
  <c r="T153" i="23"/>
  <c r="L275" i="23"/>
  <c r="N275" i="23"/>
  <c r="R128" i="23"/>
  <c r="T128" i="23"/>
  <c r="J133" i="23" s="1"/>
  <c r="F243" i="23"/>
  <c r="R83" i="23"/>
  <c r="R57" i="23"/>
  <c r="G275" i="23"/>
  <c r="Q257" i="23"/>
  <c r="G57" i="23"/>
  <c r="O57" i="23"/>
  <c r="C275" i="23"/>
  <c r="T257" i="23"/>
  <c r="G243" i="23"/>
  <c r="Q212" i="23"/>
  <c r="K269" i="19"/>
  <c r="K257" i="19"/>
  <c r="G269" i="17"/>
  <c r="G257" i="17"/>
  <c r="G269" i="18"/>
  <c r="G257" i="18"/>
  <c r="J269" i="15"/>
  <c r="J257" i="15"/>
  <c r="G269" i="19"/>
  <c r="G257" i="19"/>
  <c r="C257" i="17"/>
  <c r="C269" i="17"/>
  <c r="K269" i="17"/>
  <c r="K257" i="17"/>
  <c r="M257" i="17"/>
  <c r="M269" i="17"/>
  <c r="F269" i="17"/>
  <c r="F257" i="17"/>
  <c r="C269" i="18"/>
  <c r="C257" i="18"/>
  <c r="K269" i="18"/>
  <c r="K257" i="18"/>
  <c r="F269" i="18"/>
  <c r="F257" i="18"/>
  <c r="N269" i="18"/>
  <c r="N257" i="18"/>
  <c r="K269" i="15"/>
  <c r="K257" i="15"/>
  <c r="F269" i="15"/>
  <c r="F257" i="15"/>
  <c r="N269" i="15"/>
  <c r="N257" i="15"/>
  <c r="I269" i="19"/>
  <c r="I257" i="19"/>
  <c r="M269" i="19"/>
  <c r="M257" i="19"/>
  <c r="J269" i="19"/>
  <c r="J257" i="19"/>
  <c r="C269" i="19"/>
  <c r="C257" i="19"/>
  <c r="C269" i="21"/>
  <c r="C257" i="21"/>
  <c r="E269" i="21"/>
  <c r="E257" i="21"/>
  <c r="H269" i="21"/>
  <c r="H257" i="21"/>
  <c r="M269" i="21"/>
  <c r="M257" i="21"/>
  <c r="F269" i="21"/>
  <c r="F257" i="21"/>
  <c r="R159" i="23"/>
  <c r="J243" i="23"/>
  <c r="Q159" i="23"/>
  <c r="H275" i="23"/>
  <c r="D212" i="23"/>
  <c r="M275" i="23"/>
  <c r="K275" i="23"/>
  <c r="R257" i="23"/>
  <c r="Q83" i="23"/>
  <c r="Q57" i="23"/>
  <c r="M133" i="23"/>
  <c r="D57" i="23"/>
  <c r="Q206" i="19"/>
  <c r="I96" i="19"/>
  <c r="I102" i="19" s="1"/>
  <c r="M96" i="19"/>
  <c r="M102" i="19" s="1"/>
  <c r="H96" i="19"/>
  <c r="H102" i="19" s="1"/>
  <c r="E83" i="19"/>
  <c r="J83" i="19"/>
  <c r="D96" i="19"/>
  <c r="D102" i="19" s="1"/>
  <c r="L96" i="19"/>
  <c r="L102" i="19" s="1"/>
  <c r="F96" i="19"/>
  <c r="F102" i="19" s="1"/>
  <c r="R176" i="19"/>
  <c r="T186" i="18"/>
  <c r="T231" i="18" s="1"/>
  <c r="A206" i="21"/>
  <c r="A206" i="18"/>
  <c r="A206" i="17"/>
  <c r="R206" i="17"/>
  <c r="Q206" i="17"/>
  <c r="R147" i="2"/>
  <c r="Q206" i="21"/>
  <c r="A206" i="19"/>
  <c r="R206" i="19"/>
  <c r="R147" i="5"/>
  <c r="R141" i="2"/>
  <c r="R153" i="21"/>
  <c r="T141" i="17"/>
  <c r="R186" i="19"/>
  <c r="Q186" i="19"/>
  <c r="T176" i="19"/>
  <c r="T225" i="19" s="1"/>
  <c r="T186" i="17"/>
  <c r="T231" i="17" s="1"/>
  <c r="Q176" i="15"/>
  <c r="T176" i="17"/>
  <c r="T225" i="17" s="1"/>
  <c r="R176" i="17"/>
  <c r="Q176" i="19"/>
  <c r="R186" i="18"/>
  <c r="Q176" i="18"/>
  <c r="Q116" i="21"/>
  <c r="Q110" i="21"/>
  <c r="T147" i="15"/>
  <c r="R206" i="18"/>
  <c r="Q206" i="18"/>
  <c r="T206" i="15"/>
  <c r="T237" i="15" s="1"/>
  <c r="T206" i="18"/>
  <c r="T237" i="18" s="1"/>
  <c r="R206" i="15"/>
  <c r="Q186" i="21"/>
  <c r="T186" i="21"/>
  <c r="T231" i="21" s="1"/>
  <c r="R206" i="21"/>
  <c r="T206" i="17"/>
  <c r="T237" i="17" s="1"/>
  <c r="T206" i="19"/>
  <c r="T237" i="19" s="1"/>
  <c r="T186" i="19"/>
  <c r="T231" i="19" s="1"/>
  <c r="R176" i="21"/>
  <c r="T206" i="21"/>
  <c r="T237" i="21" s="1"/>
  <c r="Q206" i="15"/>
  <c r="T176" i="15"/>
  <c r="T225" i="15" s="1"/>
  <c r="R176" i="15"/>
  <c r="R186" i="17"/>
  <c r="Q176" i="17"/>
  <c r="T176" i="18"/>
  <c r="T225" i="18" s="1"/>
  <c r="R176" i="18"/>
  <c r="T186" i="15"/>
  <c r="T231" i="15" s="1"/>
  <c r="R186" i="21"/>
  <c r="T176" i="21"/>
  <c r="T225" i="21" s="1"/>
  <c r="R122" i="19"/>
  <c r="Q52" i="21"/>
  <c r="Q83" i="21" s="1"/>
  <c r="T52" i="17"/>
  <c r="O57" i="17" s="1"/>
  <c r="R52" i="17"/>
  <c r="R83" i="17" s="1"/>
  <c r="T52" i="18"/>
  <c r="O57" i="18" s="1"/>
  <c r="R52" i="18"/>
  <c r="R83" i="18" s="1"/>
  <c r="R52" i="15"/>
  <c r="R83" i="15" s="1"/>
  <c r="R116" i="19"/>
  <c r="Q116" i="19"/>
  <c r="T110" i="19"/>
  <c r="T116" i="17"/>
  <c r="Q110" i="15"/>
  <c r="T110" i="17"/>
  <c r="R110" i="17"/>
  <c r="Q110" i="19"/>
  <c r="R116" i="18"/>
  <c r="Q110" i="18"/>
  <c r="T141" i="15"/>
  <c r="T110" i="2"/>
  <c r="R122" i="18"/>
  <c r="Q122" i="18"/>
  <c r="Q110" i="5"/>
  <c r="R110" i="5"/>
  <c r="R122" i="5"/>
  <c r="R122" i="15"/>
  <c r="Q122" i="15"/>
  <c r="G159" i="19"/>
  <c r="Q159" i="19" s="1"/>
  <c r="R147" i="21"/>
  <c r="T52" i="21"/>
  <c r="K57" i="21" s="1"/>
  <c r="R141" i="21"/>
  <c r="T122" i="19"/>
  <c r="K231" i="19"/>
  <c r="T122" i="2"/>
  <c r="T116" i="5"/>
  <c r="T122" i="5"/>
  <c r="Q52" i="17"/>
  <c r="Q52" i="18"/>
  <c r="G96" i="19"/>
  <c r="G102" i="19" s="1"/>
  <c r="Q52" i="19"/>
  <c r="R110" i="19"/>
  <c r="T110" i="15"/>
  <c r="R110" i="15"/>
  <c r="T116" i="18"/>
  <c r="R116" i="17"/>
  <c r="Q110" i="17"/>
  <c r="T110" i="18"/>
  <c r="R110" i="18"/>
  <c r="T116" i="15"/>
  <c r="K159" i="17"/>
  <c r="R159" i="17" s="1"/>
  <c r="R153" i="17"/>
  <c r="G159" i="17"/>
  <c r="Q159" i="17" s="1"/>
  <c r="Q153" i="17"/>
  <c r="C159" i="17"/>
  <c r="T153" i="17"/>
  <c r="C159" i="15"/>
  <c r="T153" i="15"/>
  <c r="T141" i="5"/>
  <c r="R153" i="2"/>
  <c r="Q141" i="2"/>
  <c r="T116" i="21"/>
  <c r="T110" i="21"/>
  <c r="T122" i="21"/>
  <c r="T153" i="19"/>
  <c r="K159" i="19"/>
  <c r="R159" i="19" s="1"/>
  <c r="R141" i="19"/>
  <c r="C96" i="19"/>
  <c r="C102" i="19" s="1"/>
  <c r="T52" i="19"/>
  <c r="T116" i="19"/>
  <c r="Q52" i="15"/>
  <c r="C237" i="19"/>
  <c r="K96" i="19"/>
  <c r="K102" i="19" s="1"/>
  <c r="R52" i="19"/>
  <c r="T122" i="18"/>
  <c r="Q116" i="5"/>
  <c r="T116" i="2"/>
  <c r="T52" i="15"/>
  <c r="O57" i="15" s="1"/>
  <c r="K225" i="19"/>
  <c r="G237" i="19"/>
  <c r="R122" i="17"/>
  <c r="Q122" i="17"/>
  <c r="T122" i="17"/>
  <c r="T122" i="15"/>
  <c r="R116" i="2"/>
  <c r="R116" i="5"/>
  <c r="T110" i="5"/>
  <c r="R122" i="2"/>
  <c r="R110" i="2"/>
  <c r="Q110" i="2"/>
  <c r="R116" i="21"/>
  <c r="Q147" i="21"/>
  <c r="T147" i="21"/>
  <c r="T141" i="21"/>
  <c r="R110" i="21"/>
  <c r="T147" i="18"/>
  <c r="T147" i="17"/>
  <c r="T141" i="2"/>
  <c r="K159" i="18"/>
  <c r="R159" i="18" s="1"/>
  <c r="R153" i="18"/>
  <c r="G159" i="18"/>
  <c r="Q159" i="18" s="1"/>
  <c r="Q153" i="18"/>
  <c r="C159" i="18"/>
  <c r="T153" i="18"/>
  <c r="T153" i="2"/>
  <c r="Q147" i="5"/>
  <c r="T147" i="5"/>
  <c r="Q141" i="5"/>
  <c r="R141" i="5"/>
  <c r="T153" i="5"/>
  <c r="R153" i="5"/>
  <c r="K159" i="15"/>
  <c r="R159" i="15" s="1"/>
  <c r="R153" i="15"/>
  <c r="G159" i="15"/>
  <c r="Q159" i="15" s="1"/>
  <c r="Q153" i="15"/>
  <c r="T147" i="2"/>
  <c r="L159" i="21"/>
  <c r="E128" i="21"/>
  <c r="R122" i="21"/>
  <c r="T153" i="21"/>
  <c r="Q122" i="21"/>
  <c r="R52" i="21"/>
  <c r="Q141" i="21"/>
  <c r="T147" i="19"/>
  <c r="C159" i="19"/>
  <c r="T141" i="19"/>
  <c r="G231" i="21"/>
  <c r="C231" i="21"/>
  <c r="C225" i="21"/>
  <c r="C212" i="21"/>
  <c r="C159" i="21"/>
  <c r="D159" i="21"/>
  <c r="L128" i="21"/>
  <c r="I128" i="21"/>
  <c r="I83" i="21"/>
  <c r="I96" i="21"/>
  <c r="I102" i="21" s="1"/>
  <c r="J159" i="21"/>
  <c r="K128" i="21"/>
  <c r="H128" i="21"/>
  <c r="G96" i="21"/>
  <c r="G102" i="21" s="1"/>
  <c r="W52" i="21"/>
  <c r="X52" i="21" s="1"/>
  <c r="G83" i="21"/>
  <c r="G128" i="21"/>
  <c r="M128" i="21"/>
  <c r="F159" i="21"/>
  <c r="N96" i="21"/>
  <c r="N102" i="21" s="1"/>
  <c r="N83" i="21"/>
  <c r="C96" i="21"/>
  <c r="C102" i="21" s="1"/>
  <c r="C83" i="21"/>
  <c r="A52" i="21"/>
  <c r="D83" i="21"/>
  <c r="D96" i="21"/>
  <c r="D102" i="21" s="1"/>
  <c r="I225" i="21"/>
  <c r="I212" i="21"/>
  <c r="J83" i="21"/>
  <c r="J96" i="21"/>
  <c r="J102" i="21" s="1"/>
  <c r="K96" i="21"/>
  <c r="K102" i="21" s="1"/>
  <c r="K83" i="21"/>
  <c r="H225" i="21"/>
  <c r="H212" i="21"/>
  <c r="G159" i="21"/>
  <c r="M212" i="21"/>
  <c r="M225" i="21"/>
  <c r="N159" i="21"/>
  <c r="K231" i="21"/>
  <c r="C128" i="21"/>
  <c r="D128" i="21"/>
  <c r="L212" i="21"/>
  <c r="L225" i="21"/>
  <c r="E83" i="21"/>
  <c r="E96" i="21"/>
  <c r="E102" i="21" s="1"/>
  <c r="J225" i="21"/>
  <c r="J212" i="21"/>
  <c r="C237" i="21"/>
  <c r="K159" i="21"/>
  <c r="H96" i="21"/>
  <c r="H102" i="21" s="1"/>
  <c r="H83" i="21"/>
  <c r="G212" i="21"/>
  <c r="G225" i="21"/>
  <c r="M159" i="21"/>
  <c r="F128" i="21"/>
  <c r="N128" i="21"/>
  <c r="D212" i="21"/>
  <c r="D243" i="21" s="1"/>
  <c r="D225" i="21"/>
  <c r="L96" i="21"/>
  <c r="L102" i="21" s="1"/>
  <c r="L83" i="21"/>
  <c r="E225" i="21"/>
  <c r="E212" i="21"/>
  <c r="E159" i="21"/>
  <c r="I159" i="21"/>
  <c r="J128" i="21"/>
  <c r="K237" i="21"/>
  <c r="G237" i="21"/>
  <c r="K225" i="21"/>
  <c r="K212" i="21"/>
  <c r="H159" i="21"/>
  <c r="M96" i="21"/>
  <c r="M102" i="21" s="1"/>
  <c r="M83" i="21"/>
  <c r="F225" i="21"/>
  <c r="F212" i="21"/>
  <c r="F83" i="21"/>
  <c r="F96" i="21"/>
  <c r="F102" i="21" s="1"/>
  <c r="N212" i="21"/>
  <c r="N225" i="21"/>
  <c r="J159" i="5"/>
  <c r="H159" i="2"/>
  <c r="D159" i="2"/>
  <c r="C159" i="2"/>
  <c r="K159" i="2"/>
  <c r="I159" i="2"/>
  <c r="L159" i="5"/>
  <c r="I159" i="5"/>
  <c r="C159" i="5"/>
  <c r="D159" i="5"/>
  <c r="F159" i="5"/>
  <c r="N159" i="5"/>
  <c r="F159" i="2"/>
  <c r="N159" i="2"/>
  <c r="E159" i="2"/>
  <c r="L159" i="2"/>
  <c r="G159" i="2"/>
  <c r="M159" i="2"/>
  <c r="G159" i="5"/>
  <c r="E159" i="5"/>
  <c r="M159" i="5"/>
  <c r="K159" i="5"/>
  <c r="H159" i="5"/>
  <c r="J159" i="2"/>
  <c r="L212" i="19"/>
  <c r="L243" i="19" s="1"/>
  <c r="G212" i="19"/>
  <c r="C225" i="19"/>
  <c r="G231" i="19"/>
  <c r="G225" i="19"/>
  <c r="J212" i="19"/>
  <c r="J243" i="19" s="1"/>
  <c r="E212" i="19"/>
  <c r="E243" i="19" s="1"/>
  <c r="I212" i="19"/>
  <c r="I243" i="19" s="1"/>
  <c r="D212" i="19"/>
  <c r="D243" i="19" s="1"/>
  <c r="C231" i="19"/>
  <c r="K212" i="19"/>
  <c r="K237" i="19"/>
  <c r="C128" i="19"/>
  <c r="C83" i="19"/>
  <c r="D83" i="19"/>
  <c r="A52" i="19"/>
  <c r="F128" i="19"/>
  <c r="J128" i="19"/>
  <c r="F83" i="19"/>
  <c r="E128" i="19"/>
  <c r="H212" i="19"/>
  <c r="H243" i="19" s="1"/>
  <c r="E96" i="19"/>
  <c r="E102" i="19" s="1"/>
  <c r="N128" i="19"/>
  <c r="D128" i="19"/>
  <c r="M128" i="17"/>
  <c r="J96" i="19"/>
  <c r="J102" i="19" s="1"/>
  <c r="N212" i="19"/>
  <c r="K83" i="19"/>
  <c r="L83" i="19"/>
  <c r="L128" i="19"/>
  <c r="G83" i="19"/>
  <c r="C212" i="19"/>
  <c r="F212" i="19"/>
  <c r="F243" i="19" s="1"/>
  <c r="H128" i="19"/>
  <c r="M128" i="19"/>
  <c r="I128" i="19"/>
  <c r="K128" i="19"/>
  <c r="W52" i="19"/>
  <c r="X52" i="19" s="1"/>
  <c r="H83" i="19"/>
  <c r="I83" i="19"/>
  <c r="M83" i="19"/>
  <c r="M212" i="19"/>
  <c r="M243" i="19" s="1"/>
  <c r="N96" i="19"/>
  <c r="N102" i="19" s="1"/>
  <c r="N83" i="19"/>
  <c r="G128" i="19"/>
  <c r="J128" i="15"/>
  <c r="N128" i="17"/>
  <c r="N128" i="15"/>
  <c r="I128" i="15"/>
  <c r="H128" i="17"/>
  <c r="I128" i="17"/>
  <c r="I128" i="18"/>
  <c r="E128" i="17"/>
  <c r="M128" i="18"/>
  <c r="J128" i="18"/>
  <c r="M128" i="15"/>
  <c r="L128" i="18"/>
  <c r="D128" i="15"/>
  <c r="K237" i="17"/>
  <c r="H128" i="18"/>
  <c r="N128" i="18"/>
  <c r="G237" i="17"/>
  <c r="G237" i="15"/>
  <c r="E128" i="15"/>
  <c r="L128" i="15"/>
  <c r="F128" i="15"/>
  <c r="C237" i="15"/>
  <c r="K237" i="15"/>
  <c r="C237" i="17"/>
  <c r="C237" i="18"/>
  <c r="J128" i="17"/>
  <c r="L128" i="17"/>
  <c r="F128" i="17"/>
  <c r="E128" i="18"/>
  <c r="H128" i="15"/>
  <c r="K237" i="18"/>
  <c r="G237" i="18"/>
  <c r="D128" i="17"/>
  <c r="C231" i="17"/>
  <c r="C231" i="18"/>
  <c r="G231" i="18"/>
  <c r="C231" i="15"/>
  <c r="G231" i="15"/>
  <c r="K231" i="15"/>
  <c r="D128" i="18"/>
  <c r="F128" i="18"/>
  <c r="G231" i="17"/>
  <c r="K231" i="17"/>
  <c r="K231" i="18"/>
  <c r="G128" i="17"/>
  <c r="E212" i="17"/>
  <c r="E225" i="17"/>
  <c r="I212" i="17"/>
  <c r="I225" i="17"/>
  <c r="C225" i="15"/>
  <c r="C212" i="15"/>
  <c r="K128" i="15"/>
  <c r="C96" i="17"/>
  <c r="C102" i="17" s="1"/>
  <c r="C83" i="17"/>
  <c r="A52" i="17"/>
  <c r="G225" i="17"/>
  <c r="G212" i="17"/>
  <c r="K96" i="17"/>
  <c r="K102" i="17" s="1"/>
  <c r="K83" i="17"/>
  <c r="E96" i="17"/>
  <c r="E102" i="17" s="1"/>
  <c r="E83" i="17"/>
  <c r="M96" i="17"/>
  <c r="M102" i="17" s="1"/>
  <c r="M83" i="17"/>
  <c r="L96" i="17"/>
  <c r="L102" i="17" s="1"/>
  <c r="L83" i="17"/>
  <c r="F225" i="17"/>
  <c r="F212" i="17"/>
  <c r="J83" i="17"/>
  <c r="J96" i="17"/>
  <c r="J102" i="17" s="1"/>
  <c r="N83" i="17"/>
  <c r="N96" i="17"/>
  <c r="N102" i="17" s="1"/>
  <c r="C212" i="18"/>
  <c r="C225" i="18"/>
  <c r="C96" i="18"/>
  <c r="C102" i="18" s="1"/>
  <c r="A52" i="18"/>
  <c r="C83" i="18"/>
  <c r="G128" i="18"/>
  <c r="K225" i="18"/>
  <c r="K212" i="18"/>
  <c r="K128" i="18"/>
  <c r="H96" i="18"/>
  <c r="H102" i="18" s="1"/>
  <c r="H83" i="18"/>
  <c r="E225" i="18"/>
  <c r="E212" i="18"/>
  <c r="M225" i="18"/>
  <c r="M212" i="18"/>
  <c r="N96" i="18"/>
  <c r="N102" i="18" s="1"/>
  <c r="N83" i="18"/>
  <c r="D96" i="15"/>
  <c r="D102" i="15" s="1"/>
  <c r="D83" i="15"/>
  <c r="G225" i="15"/>
  <c r="G212" i="15"/>
  <c r="K96" i="15"/>
  <c r="K102" i="15" s="1"/>
  <c r="K83" i="15"/>
  <c r="L96" i="15"/>
  <c r="L102" i="15" s="1"/>
  <c r="L83" i="15"/>
  <c r="J96" i="15"/>
  <c r="J102" i="15" s="1"/>
  <c r="J83" i="15"/>
  <c r="N225" i="15"/>
  <c r="N212" i="15"/>
  <c r="K212" i="17"/>
  <c r="K225" i="17"/>
  <c r="J225" i="17"/>
  <c r="J212" i="17"/>
  <c r="C128" i="18"/>
  <c r="L96" i="18"/>
  <c r="L102" i="18" s="1"/>
  <c r="L83" i="18"/>
  <c r="J225" i="18"/>
  <c r="J212" i="18"/>
  <c r="C128" i="15"/>
  <c r="M225" i="15"/>
  <c r="M212" i="15"/>
  <c r="N96" i="15"/>
  <c r="N102" i="15" s="1"/>
  <c r="N83" i="15"/>
  <c r="I96" i="15"/>
  <c r="I102" i="15" s="1"/>
  <c r="I83" i="15"/>
  <c r="D96" i="17"/>
  <c r="D102" i="17" s="1"/>
  <c r="D83" i="17"/>
  <c r="G96" i="17"/>
  <c r="G102" i="17" s="1"/>
  <c r="W52" i="17"/>
  <c r="G83" i="17"/>
  <c r="F83" i="17"/>
  <c r="F96" i="17"/>
  <c r="F102" i="17" s="1"/>
  <c r="N225" i="17"/>
  <c r="N212" i="17"/>
  <c r="G83" i="18"/>
  <c r="G96" i="18"/>
  <c r="G102" i="18" s="1"/>
  <c r="W52" i="18"/>
  <c r="I225" i="18"/>
  <c r="I212" i="18"/>
  <c r="L225" i="18"/>
  <c r="L212" i="18"/>
  <c r="F96" i="18"/>
  <c r="F102" i="18" s="1"/>
  <c r="F83" i="18"/>
  <c r="D225" i="15"/>
  <c r="D212" i="15"/>
  <c r="G96" i="15"/>
  <c r="G102" i="15" s="1"/>
  <c r="G83" i="15"/>
  <c r="W52" i="15"/>
  <c r="K212" i="15"/>
  <c r="K225" i="15"/>
  <c r="H96" i="15"/>
  <c r="H102" i="15" s="1"/>
  <c r="H83" i="15"/>
  <c r="C128" i="17"/>
  <c r="M225" i="17"/>
  <c r="M212" i="17"/>
  <c r="D212" i="18"/>
  <c r="D225" i="18"/>
  <c r="K83" i="18"/>
  <c r="K96" i="18"/>
  <c r="K102" i="18" s="1"/>
  <c r="E83" i="18"/>
  <c r="E96" i="18"/>
  <c r="E102" i="18" s="1"/>
  <c r="M96" i="18"/>
  <c r="M102" i="18" s="1"/>
  <c r="M83" i="18"/>
  <c r="F225" i="18"/>
  <c r="F212" i="18"/>
  <c r="G128" i="15"/>
  <c r="H212" i="15"/>
  <c r="H225" i="15"/>
  <c r="L225" i="15"/>
  <c r="L212" i="15"/>
  <c r="J225" i="15"/>
  <c r="J212" i="15"/>
  <c r="K128" i="17"/>
  <c r="L212" i="17"/>
  <c r="L225" i="17"/>
  <c r="D212" i="17"/>
  <c r="D225" i="17"/>
  <c r="C225" i="17"/>
  <c r="C212" i="17"/>
  <c r="H212" i="17"/>
  <c r="H225" i="17"/>
  <c r="H96" i="17"/>
  <c r="H102" i="17" s="1"/>
  <c r="H83" i="17"/>
  <c r="I83" i="17"/>
  <c r="I96" i="17"/>
  <c r="I102" i="17" s="1"/>
  <c r="D96" i="18"/>
  <c r="D102" i="18" s="1"/>
  <c r="D83" i="18"/>
  <c r="G225" i="18"/>
  <c r="G212" i="18"/>
  <c r="H225" i="18"/>
  <c r="H212" i="18"/>
  <c r="I96" i="18"/>
  <c r="I102" i="18" s="1"/>
  <c r="I83" i="18"/>
  <c r="J96" i="18"/>
  <c r="J102" i="18" s="1"/>
  <c r="J83" i="18"/>
  <c r="N225" i="18"/>
  <c r="N212" i="18"/>
  <c r="A52" i="15"/>
  <c r="C96" i="15"/>
  <c r="C102" i="15" s="1"/>
  <c r="C83" i="15"/>
  <c r="E83" i="15"/>
  <c r="E96" i="15"/>
  <c r="E102" i="15" s="1"/>
  <c r="E225" i="15"/>
  <c r="E212" i="15"/>
  <c r="M96" i="15"/>
  <c r="M102" i="15" s="1"/>
  <c r="M83" i="15"/>
  <c r="F225" i="15"/>
  <c r="F212" i="15"/>
  <c r="F96" i="15"/>
  <c r="F102" i="15" s="1"/>
  <c r="F83" i="15"/>
  <c r="I225" i="15"/>
  <c r="I212" i="15"/>
  <c r="N93" i="1"/>
  <c r="M93" i="1"/>
  <c r="L93" i="1"/>
  <c r="K93" i="1"/>
  <c r="J93" i="1"/>
  <c r="I93" i="1"/>
  <c r="H93" i="1"/>
  <c r="G93" i="1"/>
  <c r="F93" i="1"/>
  <c r="E93" i="1"/>
  <c r="D93" i="1"/>
  <c r="C93" i="1"/>
  <c r="N92" i="1"/>
  <c r="M92" i="1"/>
  <c r="L92" i="1"/>
  <c r="K92" i="1"/>
  <c r="J92" i="1"/>
  <c r="I92" i="1"/>
  <c r="H92" i="1"/>
  <c r="G92" i="1"/>
  <c r="F92" i="1"/>
  <c r="E92" i="1"/>
  <c r="D92" i="1"/>
  <c r="C92" i="1"/>
  <c r="N91" i="1"/>
  <c r="M91" i="1"/>
  <c r="L91" i="1"/>
  <c r="K91" i="1"/>
  <c r="J91" i="1"/>
  <c r="I91" i="1"/>
  <c r="H91" i="1"/>
  <c r="G91" i="1"/>
  <c r="F91" i="1"/>
  <c r="E91" i="1"/>
  <c r="D91" i="1"/>
  <c r="C91" i="1"/>
  <c r="N275" i="21" l="1"/>
  <c r="R269" i="19"/>
  <c r="R275" i="23"/>
  <c r="R269" i="15"/>
  <c r="F275" i="19"/>
  <c r="N275" i="19"/>
  <c r="I275" i="15"/>
  <c r="D275" i="15"/>
  <c r="D275" i="18"/>
  <c r="L275" i="21"/>
  <c r="M275" i="19"/>
  <c r="Q269" i="19"/>
  <c r="I164" i="23"/>
  <c r="R164" i="23"/>
  <c r="N275" i="17"/>
  <c r="H164" i="23"/>
  <c r="Q164" i="23"/>
  <c r="R269" i="18"/>
  <c r="Q269" i="17"/>
  <c r="N133" i="23"/>
  <c r="F138" i="20"/>
  <c r="N164" i="23"/>
  <c r="F144" i="20"/>
  <c r="E275" i="19"/>
  <c r="E275" i="15"/>
  <c r="E275" i="17"/>
  <c r="D275" i="17"/>
  <c r="L275" i="17"/>
  <c r="T57" i="23"/>
  <c r="K164" i="23"/>
  <c r="Q269" i="15"/>
  <c r="Q275" i="23"/>
  <c r="E275" i="21"/>
  <c r="J275" i="19"/>
  <c r="I275" i="19"/>
  <c r="N275" i="15"/>
  <c r="F275" i="18"/>
  <c r="F275" i="17"/>
  <c r="L275" i="15"/>
  <c r="J275" i="17"/>
  <c r="T269" i="21"/>
  <c r="T269" i="19"/>
  <c r="T257" i="17"/>
  <c r="C275" i="17"/>
  <c r="C133" i="23"/>
  <c r="R257" i="21"/>
  <c r="K275" i="21"/>
  <c r="T269" i="15"/>
  <c r="C164" i="23"/>
  <c r="O164" i="23"/>
  <c r="L164" i="23"/>
  <c r="J164" i="23"/>
  <c r="M164" i="23"/>
  <c r="F164" i="23"/>
  <c r="R257" i="19"/>
  <c r="L275" i="19"/>
  <c r="R257" i="15"/>
  <c r="K275" i="15"/>
  <c r="C275" i="18"/>
  <c r="T257" i="18"/>
  <c r="R257" i="17"/>
  <c r="K275" i="17"/>
  <c r="G275" i="18"/>
  <c r="Q257" i="18"/>
  <c r="T275" i="23"/>
  <c r="F150" i="20" s="1"/>
  <c r="O133" i="23"/>
  <c r="F133" i="23"/>
  <c r="H133" i="23"/>
  <c r="D243" i="23"/>
  <c r="M275" i="21"/>
  <c r="T269" i="18"/>
  <c r="Q269" i="18"/>
  <c r="L133" i="23"/>
  <c r="R133" i="23"/>
  <c r="J275" i="21"/>
  <c r="M275" i="18"/>
  <c r="G275" i="21"/>
  <c r="Q275" i="21" s="1"/>
  <c r="Q257" i="21"/>
  <c r="I275" i="17"/>
  <c r="D275" i="19"/>
  <c r="I275" i="18"/>
  <c r="R269" i="17"/>
  <c r="E164" i="23"/>
  <c r="G133" i="23"/>
  <c r="R269" i="21"/>
  <c r="G275" i="15"/>
  <c r="Q257" i="15"/>
  <c r="E133" i="23"/>
  <c r="F275" i="21"/>
  <c r="H275" i="21"/>
  <c r="C275" i="21"/>
  <c r="T257" i="21"/>
  <c r="T257" i="19"/>
  <c r="C275" i="19"/>
  <c r="F275" i="15"/>
  <c r="N275" i="18"/>
  <c r="R257" i="18"/>
  <c r="K275" i="18"/>
  <c r="M275" i="17"/>
  <c r="T269" i="17"/>
  <c r="G275" i="19"/>
  <c r="Q257" i="19"/>
  <c r="J275" i="15"/>
  <c r="Q257" i="17"/>
  <c r="G275" i="17"/>
  <c r="K275" i="19"/>
  <c r="I133" i="23"/>
  <c r="K133" i="23"/>
  <c r="D275" i="21"/>
  <c r="H275" i="19"/>
  <c r="M275" i="15"/>
  <c r="C275" i="15"/>
  <c r="T257" i="15"/>
  <c r="E275" i="18"/>
  <c r="T212" i="23"/>
  <c r="D133" i="23"/>
  <c r="I275" i="21"/>
  <c r="J275" i="18"/>
  <c r="H275" i="17"/>
  <c r="H275" i="15"/>
  <c r="L275" i="18"/>
  <c r="H275" i="18"/>
  <c r="Q133" i="23"/>
  <c r="D164" i="23"/>
  <c r="O57" i="19"/>
  <c r="I90" i="20"/>
  <c r="O57" i="21"/>
  <c r="J90" i="20"/>
  <c r="E57" i="21"/>
  <c r="R159" i="21"/>
  <c r="T212" i="17"/>
  <c r="R212" i="15"/>
  <c r="R212" i="17"/>
  <c r="Q212" i="15"/>
  <c r="R128" i="18"/>
  <c r="R212" i="21"/>
  <c r="I57" i="21"/>
  <c r="Q57" i="21"/>
  <c r="M57" i="21"/>
  <c r="L57" i="21"/>
  <c r="D57" i="21"/>
  <c r="T212" i="18"/>
  <c r="T212" i="15"/>
  <c r="R212" i="18"/>
  <c r="C243" i="19"/>
  <c r="T212" i="19"/>
  <c r="R128" i="21"/>
  <c r="T212" i="21"/>
  <c r="V212" i="21" s="1"/>
  <c r="J114" i="20" s="1"/>
  <c r="Q212" i="18"/>
  <c r="K243" i="19"/>
  <c r="R212" i="19"/>
  <c r="G243" i="19"/>
  <c r="Q212" i="19"/>
  <c r="Q212" i="17"/>
  <c r="Q212" i="21"/>
  <c r="R57" i="17"/>
  <c r="Q128" i="19"/>
  <c r="R37" i="2"/>
  <c r="Q37" i="2"/>
  <c r="R36" i="2"/>
  <c r="Q36" i="2"/>
  <c r="R35" i="2"/>
  <c r="Q35" i="2"/>
  <c r="R128" i="17"/>
  <c r="T128" i="15"/>
  <c r="O133" i="15" s="1"/>
  <c r="T128" i="18"/>
  <c r="O133" i="18" s="1"/>
  <c r="Q128" i="17"/>
  <c r="R159" i="5"/>
  <c r="Q159" i="21"/>
  <c r="R128" i="19"/>
  <c r="Q159" i="2"/>
  <c r="T159" i="17"/>
  <c r="O164" i="17" s="1"/>
  <c r="R57" i="18"/>
  <c r="T37" i="2"/>
  <c r="T35" i="2"/>
  <c r="T128" i="17"/>
  <c r="O133" i="17" s="1"/>
  <c r="T36" i="2"/>
  <c r="T159" i="5"/>
  <c r="R83" i="19"/>
  <c r="R57" i="19"/>
  <c r="Q83" i="15"/>
  <c r="Q57" i="15"/>
  <c r="Q128" i="18"/>
  <c r="R128" i="15"/>
  <c r="T128" i="19"/>
  <c r="Q128" i="21"/>
  <c r="T159" i="21"/>
  <c r="Q83" i="18"/>
  <c r="Q57" i="18"/>
  <c r="R159" i="2"/>
  <c r="T128" i="21"/>
  <c r="N133" i="21" s="1"/>
  <c r="R83" i="21"/>
  <c r="R57" i="21"/>
  <c r="T159" i="18"/>
  <c r="O164" i="18" s="1"/>
  <c r="Q83" i="17"/>
  <c r="Q57" i="17"/>
  <c r="R57" i="15"/>
  <c r="Q128" i="15"/>
  <c r="Q159" i="5"/>
  <c r="T159" i="2"/>
  <c r="O164" i="2" s="1"/>
  <c r="T159" i="19"/>
  <c r="T159" i="15"/>
  <c r="O164" i="15" s="1"/>
  <c r="Q83" i="19"/>
  <c r="Q57" i="19"/>
  <c r="L243" i="21"/>
  <c r="K243" i="21"/>
  <c r="M243" i="21"/>
  <c r="C57" i="21"/>
  <c r="J96" i="20"/>
  <c r="I243" i="21"/>
  <c r="G57" i="21"/>
  <c r="N243" i="21"/>
  <c r="F243" i="21"/>
  <c r="G243" i="21"/>
  <c r="J57" i="21"/>
  <c r="N57" i="21"/>
  <c r="F57" i="21"/>
  <c r="E243" i="21"/>
  <c r="H57" i="21"/>
  <c r="J243" i="21"/>
  <c r="H243" i="21"/>
  <c r="C243" i="21"/>
  <c r="E57" i="19"/>
  <c r="M57" i="18"/>
  <c r="M90" i="20"/>
  <c r="I57" i="17"/>
  <c r="N90" i="20"/>
  <c r="E57" i="15"/>
  <c r="L90" i="20"/>
  <c r="E57" i="18"/>
  <c r="X52" i="18"/>
  <c r="M96" i="20" s="1"/>
  <c r="L57" i="18"/>
  <c r="J113" i="2"/>
  <c r="J144" i="2"/>
  <c r="N112" i="2"/>
  <c r="N143" i="2"/>
  <c r="J112" i="2"/>
  <c r="J143" i="2"/>
  <c r="N111" i="2"/>
  <c r="N142" i="2"/>
  <c r="J111" i="2"/>
  <c r="J142" i="2"/>
  <c r="K113" i="2"/>
  <c r="K144" i="2"/>
  <c r="G113" i="2"/>
  <c r="G144" i="2"/>
  <c r="C113" i="2"/>
  <c r="C144" i="2"/>
  <c r="K112" i="2"/>
  <c r="K143" i="2"/>
  <c r="G112" i="2"/>
  <c r="Q112" i="2" s="1"/>
  <c r="G143" i="2"/>
  <c r="Q143" i="2" s="1"/>
  <c r="C112" i="2"/>
  <c r="C143" i="2"/>
  <c r="K111" i="2"/>
  <c r="K142" i="2"/>
  <c r="G111" i="2"/>
  <c r="G142" i="2"/>
  <c r="C111" i="2"/>
  <c r="C142" i="2"/>
  <c r="M113" i="2"/>
  <c r="M144" i="2"/>
  <c r="I113" i="2"/>
  <c r="I144" i="2"/>
  <c r="E113" i="2"/>
  <c r="E144" i="2"/>
  <c r="M112" i="2"/>
  <c r="M143" i="2"/>
  <c r="I112" i="2"/>
  <c r="I143" i="2"/>
  <c r="E112" i="2"/>
  <c r="E143" i="2"/>
  <c r="M111" i="2"/>
  <c r="M142" i="2"/>
  <c r="I111" i="2"/>
  <c r="I142" i="2"/>
  <c r="E111" i="2"/>
  <c r="E142" i="2"/>
  <c r="N113" i="2"/>
  <c r="N144" i="2"/>
  <c r="F113" i="2"/>
  <c r="F144" i="2"/>
  <c r="F112" i="2"/>
  <c r="F143" i="2"/>
  <c r="F111" i="2"/>
  <c r="F142" i="2"/>
  <c r="L113" i="2"/>
  <c r="L144" i="2"/>
  <c r="H113" i="2"/>
  <c r="H144" i="2"/>
  <c r="D113" i="2"/>
  <c r="D144" i="2"/>
  <c r="L112" i="2"/>
  <c r="L143" i="2"/>
  <c r="H112" i="2"/>
  <c r="H143" i="2"/>
  <c r="D112" i="2"/>
  <c r="D143" i="2"/>
  <c r="L111" i="2"/>
  <c r="L142" i="2"/>
  <c r="H111" i="2"/>
  <c r="H142" i="2"/>
  <c r="D111" i="2"/>
  <c r="D142" i="2"/>
  <c r="I57" i="19"/>
  <c r="G57" i="19"/>
  <c r="N243" i="19"/>
  <c r="C57" i="19"/>
  <c r="F57" i="19"/>
  <c r="H57" i="19"/>
  <c r="K57" i="19"/>
  <c r="I96" i="20"/>
  <c r="L57" i="19"/>
  <c r="D57" i="19"/>
  <c r="J57" i="19"/>
  <c r="N57" i="19"/>
  <c r="M57" i="19"/>
  <c r="M57" i="15"/>
  <c r="F57" i="18"/>
  <c r="I57" i="18"/>
  <c r="D57" i="18"/>
  <c r="J57" i="18"/>
  <c r="K57" i="18"/>
  <c r="G57" i="18"/>
  <c r="D57" i="17"/>
  <c r="G57" i="15"/>
  <c r="C57" i="15"/>
  <c r="N57" i="18"/>
  <c r="C57" i="18"/>
  <c r="L57" i="17"/>
  <c r="J243" i="18"/>
  <c r="N243" i="15"/>
  <c r="G243" i="17"/>
  <c r="E243" i="15"/>
  <c r="C243" i="17"/>
  <c r="F243" i="18"/>
  <c r="D243" i="18"/>
  <c r="M243" i="17"/>
  <c r="K243" i="15"/>
  <c r="L243" i="18"/>
  <c r="F57" i="17"/>
  <c r="G57" i="17"/>
  <c r="I57" i="15"/>
  <c r="J243" i="17"/>
  <c r="K243" i="17"/>
  <c r="L57" i="15"/>
  <c r="K57" i="15"/>
  <c r="G243" i="15"/>
  <c r="H57" i="18"/>
  <c r="E57" i="17"/>
  <c r="K57" i="17"/>
  <c r="E243" i="17"/>
  <c r="H243" i="18"/>
  <c r="G243" i="18"/>
  <c r="H57" i="17"/>
  <c r="H243" i="17"/>
  <c r="L243" i="17"/>
  <c r="H243" i="15"/>
  <c r="X52" i="15"/>
  <c r="L96" i="20" s="1"/>
  <c r="D243" i="15"/>
  <c r="N243" i="17"/>
  <c r="M243" i="15"/>
  <c r="E243" i="18"/>
  <c r="J57" i="17"/>
  <c r="F243" i="17"/>
  <c r="C243" i="15"/>
  <c r="I243" i="17"/>
  <c r="I243" i="15"/>
  <c r="N243" i="18"/>
  <c r="L243" i="15"/>
  <c r="K243" i="18"/>
  <c r="C243" i="18"/>
  <c r="F243" i="15"/>
  <c r="F57" i="15"/>
  <c r="D243" i="17"/>
  <c r="J243" i="15"/>
  <c r="H57" i="15"/>
  <c r="I243" i="18"/>
  <c r="X52" i="17"/>
  <c r="N96" i="20" s="1"/>
  <c r="N57" i="15"/>
  <c r="J57" i="15"/>
  <c r="D57" i="15"/>
  <c r="M243" i="18"/>
  <c r="N57" i="17"/>
  <c r="M57" i="17"/>
  <c r="C57" i="17"/>
  <c r="R133" i="15" l="1"/>
  <c r="R275" i="21"/>
  <c r="Q275" i="15"/>
  <c r="R275" i="17"/>
  <c r="Q217" i="19"/>
  <c r="Q217" i="18"/>
  <c r="Q275" i="19"/>
  <c r="Q275" i="17"/>
  <c r="D217" i="23"/>
  <c r="F102" i="20"/>
  <c r="R275" i="15"/>
  <c r="Q217" i="23"/>
  <c r="T275" i="19"/>
  <c r="I150" i="20" s="1"/>
  <c r="T275" i="18"/>
  <c r="M150" i="20" s="1"/>
  <c r="T275" i="17"/>
  <c r="N150" i="20" s="1"/>
  <c r="T275" i="15"/>
  <c r="L150" i="20" s="1"/>
  <c r="M217" i="23"/>
  <c r="O217" i="23"/>
  <c r="F114" i="20"/>
  <c r="F108" i="20"/>
  <c r="H217" i="23"/>
  <c r="J217" i="23"/>
  <c r="C217" i="23"/>
  <c r="L217" i="23"/>
  <c r="K217" i="23"/>
  <c r="N217" i="23"/>
  <c r="F217" i="23"/>
  <c r="G217" i="23"/>
  <c r="E217" i="23"/>
  <c r="I217" i="23"/>
  <c r="R275" i="18"/>
  <c r="T133" i="23"/>
  <c r="Q275" i="18"/>
  <c r="T164" i="23"/>
  <c r="R275" i="19"/>
  <c r="T275" i="21"/>
  <c r="J150" i="20" s="1"/>
  <c r="R217" i="23"/>
  <c r="R164" i="21"/>
  <c r="K133" i="21"/>
  <c r="O217" i="18"/>
  <c r="V212" i="18"/>
  <c r="O217" i="17"/>
  <c r="V212" i="17"/>
  <c r="O217" i="15"/>
  <c r="V212" i="15"/>
  <c r="V212" i="19"/>
  <c r="I114" i="20" s="1"/>
  <c r="O164" i="21"/>
  <c r="J144" i="20"/>
  <c r="O133" i="21"/>
  <c r="J138" i="20"/>
  <c r="R164" i="19"/>
  <c r="I144" i="20"/>
  <c r="O133" i="19"/>
  <c r="I138" i="20"/>
  <c r="O217" i="19"/>
  <c r="I102" i="20"/>
  <c r="R217" i="21"/>
  <c r="O217" i="21"/>
  <c r="J102" i="20"/>
  <c r="U212" i="21"/>
  <c r="J108" i="20" s="1"/>
  <c r="Q217" i="15"/>
  <c r="J217" i="17"/>
  <c r="Q111" i="2"/>
  <c r="Q113" i="2"/>
  <c r="R217" i="18"/>
  <c r="Q164" i="17"/>
  <c r="Q217" i="17"/>
  <c r="Q133" i="15"/>
  <c r="R217" i="17"/>
  <c r="R217" i="19"/>
  <c r="R164" i="18"/>
  <c r="H133" i="21"/>
  <c r="D133" i="21"/>
  <c r="R133" i="18"/>
  <c r="R133" i="21"/>
  <c r="M133" i="21"/>
  <c r="L217" i="21"/>
  <c r="R164" i="2"/>
  <c r="E217" i="21"/>
  <c r="I217" i="21"/>
  <c r="Q133" i="18"/>
  <c r="C217" i="21"/>
  <c r="Q217" i="21"/>
  <c r="R217" i="15"/>
  <c r="Q164" i="21"/>
  <c r="C133" i="21"/>
  <c r="C164" i="21"/>
  <c r="Q133" i="21"/>
  <c r="C133" i="19"/>
  <c r="Q142" i="2"/>
  <c r="Q144" i="2"/>
  <c r="L133" i="21"/>
  <c r="J164" i="21"/>
  <c r="F133" i="21"/>
  <c r="G133" i="21"/>
  <c r="R164" i="17"/>
  <c r="Q164" i="2"/>
  <c r="Q133" i="19"/>
  <c r="T143" i="2"/>
  <c r="T112" i="2"/>
  <c r="R164" i="5"/>
  <c r="O164" i="5"/>
  <c r="R133" i="17"/>
  <c r="T142" i="2"/>
  <c r="R142" i="2"/>
  <c r="T144" i="2"/>
  <c r="R144" i="2"/>
  <c r="R164" i="15"/>
  <c r="R143" i="2"/>
  <c r="O164" i="19"/>
  <c r="Q164" i="19"/>
  <c r="R112" i="2"/>
  <c r="Q133" i="17"/>
  <c r="F164" i="19"/>
  <c r="T111" i="2"/>
  <c r="R111" i="2"/>
  <c r="T113" i="2"/>
  <c r="R113" i="2"/>
  <c r="J217" i="21"/>
  <c r="N217" i="21"/>
  <c r="T57" i="21"/>
  <c r="Q164" i="15"/>
  <c r="Q164" i="5"/>
  <c r="Q164" i="18"/>
  <c r="R133" i="19"/>
  <c r="T57" i="17"/>
  <c r="T57" i="18"/>
  <c r="T57" i="15"/>
  <c r="T57" i="19"/>
  <c r="M164" i="21"/>
  <c r="I164" i="21"/>
  <c r="K164" i="21"/>
  <c r="F164" i="21"/>
  <c r="K217" i="21"/>
  <c r="H164" i="21"/>
  <c r="L164" i="21"/>
  <c r="N164" i="21"/>
  <c r="G217" i="21"/>
  <c r="E164" i="21"/>
  <c r="D164" i="21"/>
  <c r="I133" i="21"/>
  <c r="E133" i="21"/>
  <c r="D217" i="21"/>
  <c r="T243" i="21"/>
  <c r="U243" i="21" s="1"/>
  <c r="H217" i="21"/>
  <c r="F217" i="21"/>
  <c r="G164" i="21"/>
  <c r="M217" i="21"/>
  <c r="J133" i="21"/>
  <c r="L102" i="20"/>
  <c r="U212" i="15"/>
  <c r="L108" i="20" s="1"/>
  <c r="N102" i="20"/>
  <c r="U212" i="17"/>
  <c r="N108" i="20" s="1"/>
  <c r="X212" i="17"/>
  <c r="E217" i="19"/>
  <c r="U212" i="19"/>
  <c r="I108" i="20" s="1"/>
  <c r="X212" i="18"/>
  <c r="M102" i="20"/>
  <c r="U212" i="18"/>
  <c r="M108" i="20" s="1"/>
  <c r="C217" i="19"/>
  <c r="H133" i="19"/>
  <c r="J133" i="19"/>
  <c r="L133" i="19"/>
  <c r="M133" i="19"/>
  <c r="N164" i="19"/>
  <c r="T243" i="19"/>
  <c r="U243" i="19" s="1"/>
  <c r="I126" i="20" s="1"/>
  <c r="H164" i="19"/>
  <c r="C164" i="19"/>
  <c r="K164" i="19"/>
  <c r="D164" i="19"/>
  <c r="J164" i="19"/>
  <c r="L164" i="19"/>
  <c r="E164" i="19"/>
  <c r="G164" i="19"/>
  <c r="I133" i="19"/>
  <c r="N133" i="19"/>
  <c r="D133" i="19"/>
  <c r="I164" i="19"/>
  <c r="M164" i="19"/>
  <c r="K133" i="19"/>
  <c r="E133" i="19"/>
  <c r="G133" i="19"/>
  <c r="F133" i="19"/>
  <c r="I217" i="19"/>
  <c r="L217" i="19"/>
  <c r="D217" i="19"/>
  <c r="F217" i="19"/>
  <c r="M217" i="19"/>
  <c r="G217" i="19"/>
  <c r="K217" i="19"/>
  <c r="J217" i="19"/>
  <c r="H217" i="19"/>
  <c r="N217" i="19"/>
  <c r="G164" i="18"/>
  <c r="M144" i="20"/>
  <c r="C164" i="15"/>
  <c r="L144" i="20"/>
  <c r="M164" i="17"/>
  <c r="N144" i="20"/>
  <c r="C133" i="15"/>
  <c r="L138" i="20"/>
  <c r="G133" i="18"/>
  <c r="M138" i="20"/>
  <c r="K133" i="17"/>
  <c r="N138" i="20"/>
  <c r="G217" i="17"/>
  <c r="G217" i="18"/>
  <c r="E217" i="15"/>
  <c r="H217" i="17"/>
  <c r="D217" i="17"/>
  <c r="E217" i="17"/>
  <c r="L217" i="17"/>
  <c r="E164" i="17"/>
  <c r="I217" i="17"/>
  <c r="F217" i="17"/>
  <c r="N217" i="17"/>
  <c r="G133" i="17"/>
  <c r="K133" i="18"/>
  <c r="M217" i="18"/>
  <c r="F164" i="17"/>
  <c r="I164" i="17"/>
  <c r="C164" i="17"/>
  <c r="G164" i="17"/>
  <c r="C133" i="18"/>
  <c r="D164" i="17"/>
  <c r="J164" i="17"/>
  <c r="N164" i="17"/>
  <c r="H164" i="17"/>
  <c r="C217" i="18"/>
  <c r="M217" i="17"/>
  <c r="K164" i="17"/>
  <c r="L164" i="17"/>
  <c r="K217" i="18"/>
  <c r="N217" i="18"/>
  <c r="I217" i="18"/>
  <c r="C164" i="18"/>
  <c r="C217" i="17"/>
  <c r="D217" i="15"/>
  <c r="G164" i="15"/>
  <c r="F217" i="15"/>
  <c r="C217" i="15"/>
  <c r="E217" i="18"/>
  <c r="C133" i="17"/>
  <c r="H133" i="17"/>
  <c r="E133" i="17"/>
  <c r="M133" i="17"/>
  <c r="N133" i="17"/>
  <c r="L133" i="17"/>
  <c r="I133" i="17"/>
  <c r="D133" i="17"/>
  <c r="J133" i="17"/>
  <c r="F133" i="17"/>
  <c r="T243" i="15"/>
  <c r="U243" i="15" s="1"/>
  <c r="V243" i="15" s="1"/>
  <c r="X212" i="15"/>
  <c r="G217" i="15"/>
  <c r="I217" i="15"/>
  <c r="M217" i="15"/>
  <c r="F133" i="18"/>
  <c r="E133" i="18"/>
  <c r="H133" i="18"/>
  <c r="D133" i="18"/>
  <c r="M133" i="18"/>
  <c r="N133" i="18"/>
  <c r="I133" i="18"/>
  <c r="J133" i="18"/>
  <c r="L133" i="18"/>
  <c r="K217" i="15"/>
  <c r="K217" i="17"/>
  <c r="T243" i="17"/>
  <c r="U243" i="17" s="1"/>
  <c r="V243" i="17" s="1"/>
  <c r="E164" i="15"/>
  <c r="M164" i="15"/>
  <c r="F164" i="15"/>
  <c r="I164" i="15"/>
  <c r="J164" i="15"/>
  <c r="D164" i="15"/>
  <c r="H164" i="15"/>
  <c r="L164" i="15"/>
  <c r="N164" i="15"/>
  <c r="K133" i="15"/>
  <c r="N133" i="15"/>
  <c r="M133" i="15"/>
  <c r="E133" i="15"/>
  <c r="J133" i="15"/>
  <c r="D133" i="15"/>
  <c r="F133" i="15"/>
  <c r="I133" i="15"/>
  <c r="H133" i="15"/>
  <c r="L133" i="15"/>
  <c r="G133" i="15"/>
  <c r="J217" i="15"/>
  <c r="T243" i="18"/>
  <c r="U243" i="18" s="1"/>
  <c r="V243" i="18" s="1"/>
  <c r="K164" i="15"/>
  <c r="L217" i="15"/>
  <c r="H217" i="15"/>
  <c r="K164" i="18"/>
  <c r="N164" i="18"/>
  <c r="J164" i="18"/>
  <c r="M164" i="18"/>
  <c r="D164" i="18"/>
  <c r="L164" i="18"/>
  <c r="I164" i="18"/>
  <c r="H164" i="18"/>
  <c r="F164" i="18"/>
  <c r="E164" i="18"/>
  <c r="H217" i="18"/>
  <c r="L217" i="18"/>
  <c r="D217" i="18"/>
  <c r="F217" i="18"/>
  <c r="N217" i="15"/>
  <c r="J217" i="18"/>
  <c r="D209" i="2"/>
  <c r="D208" i="2"/>
  <c r="D207" i="2"/>
  <c r="F132" i="20" l="1"/>
  <c r="F126" i="20"/>
  <c r="W212" i="23"/>
  <c r="F120" i="20" s="1"/>
  <c r="T217" i="23"/>
  <c r="W212" i="15"/>
  <c r="L120" i="20" s="1"/>
  <c r="L114" i="20"/>
  <c r="W212" i="17"/>
  <c r="N120" i="20" s="1"/>
  <c r="N114" i="20"/>
  <c r="W212" i="18"/>
  <c r="M120" i="20" s="1"/>
  <c r="M114" i="20"/>
  <c r="W212" i="21"/>
  <c r="J120" i="20" s="1"/>
  <c r="W212" i="19"/>
  <c r="I120" i="20" s="1"/>
  <c r="V243" i="19"/>
  <c r="I132" i="20" s="1"/>
  <c r="J126" i="20"/>
  <c r="V243" i="21"/>
  <c r="J132" i="20" s="1"/>
  <c r="T217" i="21"/>
  <c r="R48" i="5"/>
  <c r="R79" i="5" s="1"/>
  <c r="T217" i="17"/>
  <c r="T217" i="18"/>
  <c r="T217" i="15"/>
  <c r="T217" i="19"/>
  <c r="T49" i="5"/>
  <c r="Q49" i="5"/>
  <c r="Q80" i="5" s="1"/>
  <c r="R49" i="5"/>
  <c r="R80" i="5" s="1"/>
  <c r="Q48" i="5"/>
  <c r="Q79" i="5" s="1"/>
  <c r="R41" i="2"/>
  <c r="R42" i="2"/>
  <c r="R43" i="2"/>
  <c r="R47" i="2"/>
  <c r="R78" i="2" s="1"/>
  <c r="R48" i="2"/>
  <c r="R79" i="2" s="1"/>
  <c r="R49" i="2"/>
  <c r="R80" i="2" s="1"/>
  <c r="R35" i="5"/>
  <c r="R36" i="5"/>
  <c r="R37" i="5"/>
  <c r="R41" i="5"/>
  <c r="R42" i="5"/>
  <c r="R43" i="5"/>
  <c r="R47" i="5"/>
  <c r="R78" i="5" s="1"/>
  <c r="T48" i="5"/>
  <c r="T133" i="19"/>
  <c r="T133" i="21"/>
  <c r="T164" i="21"/>
  <c r="T41" i="2"/>
  <c r="Q41" i="2"/>
  <c r="T42" i="2"/>
  <c r="Q42" i="2"/>
  <c r="T43" i="2"/>
  <c r="Q43" i="2"/>
  <c r="T47" i="2"/>
  <c r="Q47" i="2"/>
  <c r="Q78" i="2" s="1"/>
  <c r="T48" i="2"/>
  <c r="Q48" i="2"/>
  <c r="Q79" i="2" s="1"/>
  <c r="T49" i="2"/>
  <c r="Q49" i="2"/>
  <c r="Q80" i="2" s="1"/>
  <c r="T35" i="5"/>
  <c r="Q35" i="5"/>
  <c r="T36" i="5"/>
  <c r="Q36" i="5"/>
  <c r="T37" i="5"/>
  <c r="Q37" i="5"/>
  <c r="T41" i="5"/>
  <c r="Q41" i="5"/>
  <c r="T42" i="5"/>
  <c r="Q42" i="5"/>
  <c r="T43" i="5"/>
  <c r="Q43" i="5"/>
  <c r="T47" i="5"/>
  <c r="Q47" i="5"/>
  <c r="Q78" i="5" s="1"/>
  <c r="T133" i="17"/>
  <c r="T164" i="17"/>
  <c r="T164" i="18"/>
  <c r="T133" i="18"/>
  <c r="T133" i="15"/>
  <c r="T164" i="15"/>
  <c r="T164" i="19"/>
  <c r="G111" i="5"/>
  <c r="G142" i="5"/>
  <c r="C112" i="5"/>
  <c r="C143" i="5"/>
  <c r="K112" i="5"/>
  <c r="K143" i="5"/>
  <c r="G113" i="5"/>
  <c r="G144" i="5"/>
  <c r="C117" i="5"/>
  <c r="C148" i="5"/>
  <c r="K117" i="5"/>
  <c r="K148" i="5"/>
  <c r="G118" i="5"/>
  <c r="G149" i="5"/>
  <c r="C119" i="5"/>
  <c r="C150" i="5"/>
  <c r="C123" i="5"/>
  <c r="C154" i="5"/>
  <c r="K123" i="5"/>
  <c r="K154" i="5"/>
  <c r="D124" i="5"/>
  <c r="D155" i="5"/>
  <c r="L124" i="5"/>
  <c r="L155" i="5"/>
  <c r="I125" i="5"/>
  <c r="I156" i="5"/>
  <c r="H111" i="5"/>
  <c r="H142" i="5"/>
  <c r="D112" i="5"/>
  <c r="D143" i="5"/>
  <c r="L112" i="5"/>
  <c r="L143" i="5"/>
  <c r="H113" i="5"/>
  <c r="H144" i="5"/>
  <c r="L113" i="5"/>
  <c r="L144" i="5"/>
  <c r="H117" i="5"/>
  <c r="H148" i="5"/>
  <c r="D118" i="5"/>
  <c r="D149" i="5"/>
  <c r="L118" i="5"/>
  <c r="L149" i="5"/>
  <c r="L119" i="5"/>
  <c r="L150" i="5"/>
  <c r="H123" i="5"/>
  <c r="H154" i="5"/>
  <c r="E124" i="5"/>
  <c r="E155" i="5"/>
  <c r="N124" i="5"/>
  <c r="N155" i="5"/>
  <c r="J125" i="5"/>
  <c r="J156" i="5"/>
  <c r="E111" i="5"/>
  <c r="E142" i="5"/>
  <c r="I111" i="5"/>
  <c r="I142" i="5"/>
  <c r="M111" i="5"/>
  <c r="M142" i="5"/>
  <c r="E112" i="5"/>
  <c r="E143" i="5"/>
  <c r="I112" i="5"/>
  <c r="I143" i="5"/>
  <c r="M112" i="5"/>
  <c r="M143" i="5"/>
  <c r="E113" i="5"/>
  <c r="E144" i="5"/>
  <c r="I113" i="5"/>
  <c r="I144" i="5"/>
  <c r="M113" i="5"/>
  <c r="M144" i="5"/>
  <c r="E117" i="5"/>
  <c r="E148" i="5"/>
  <c r="I117" i="5"/>
  <c r="I148" i="5"/>
  <c r="M117" i="5"/>
  <c r="M148" i="5"/>
  <c r="E118" i="5"/>
  <c r="E149" i="5"/>
  <c r="I118" i="5"/>
  <c r="I149" i="5"/>
  <c r="M118" i="5"/>
  <c r="M149" i="5"/>
  <c r="E119" i="5"/>
  <c r="E150" i="5"/>
  <c r="I119" i="5"/>
  <c r="I150" i="5"/>
  <c r="M119" i="5"/>
  <c r="M150" i="5"/>
  <c r="E123" i="5"/>
  <c r="E154" i="5"/>
  <c r="I123" i="5"/>
  <c r="I154" i="5"/>
  <c r="N123" i="5"/>
  <c r="N154" i="5"/>
  <c r="F124" i="5"/>
  <c r="F155" i="5"/>
  <c r="J124" i="5"/>
  <c r="J155" i="5"/>
  <c r="C125" i="5"/>
  <c r="C156" i="5"/>
  <c r="G125" i="5"/>
  <c r="G156" i="5"/>
  <c r="K125" i="5"/>
  <c r="K156" i="5"/>
  <c r="C111" i="5"/>
  <c r="C142" i="5"/>
  <c r="K111" i="5"/>
  <c r="K142" i="5"/>
  <c r="G112" i="5"/>
  <c r="G143" i="5"/>
  <c r="C113" i="5"/>
  <c r="C144" i="5"/>
  <c r="K113" i="5"/>
  <c r="K144" i="5"/>
  <c r="G117" i="5"/>
  <c r="G148" i="5"/>
  <c r="C118" i="5"/>
  <c r="C149" i="5"/>
  <c r="K118" i="5"/>
  <c r="K149" i="5"/>
  <c r="G119" i="5"/>
  <c r="G150" i="5"/>
  <c r="K119" i="5"/>
  <c r="R119" i="5" s="1"/>
  <c r="K150" i="5"/>
  <c r="R150" i="5" s="1"/>
  <c r="G123" i="5"/>
  <c r="Q123" i="5" s="1"/>
  <c r="G154" i="5"/>
  <c r="Q154" i="5" s="1"/>
  <c r="H124" i="5"/>
  <c r="H155" i="5"/>
  <c r="E125" i="5"/>
  <c r="E156" i="5"/>
  <c r="N125" i="5"/>
  <c r="N156" i="5"/>
  <c r="D111" i="5"/>
  <c r="D142" i="5"/>
  <c r="L111" i="5"/>
  <c r="L142" i="5"/>
  <c r="H112" i="5"/>
  <c r="H143" i="5"/>
  <c r="D113" i="5"/>
  <c r="D144" i="5"/>
  <c r="D117" i="5"/>
  <c r="D148" i="5"/>
  <c r="L117" i="5"/>
  <c r="L148" i="5"/>
  <c r="H118" i="5"/>
  <c r="H149" i="5"/>
  <c r="D119" i="5"/>
  <c r="D150" i="5"/>
  <c r="H119" i="5"/>
  <c r="H150" i="5"/>
  <c r="D123" i="5"/>
  <c r="D154" i="5"/>
  <c r="L123" i="5"/>
  <c r="L154" i="5"/>
  <c r="I124" i="5"/>
  <c r="I155" i="5"/>
  <c r="F125" i="5"/>
  <c r="F156" i="5"/>
  <c r="F111" i="5"/>
  <c r="F142" i="5"/>
  <c r="J111" i="5"/>
  <c r="J142" i="5"/>
  <c r="N111" i="5"/>
  <c r="N142" i="5"/>
  <c r="F112" i="5"/>
  <c r="F143" i="5"/>
  <c r="J112" i="5"/>
  <c r="J143" i="5"/>
  <c r="N112" i="5"/>
  <c r="N143" i="5"/>
  <c r="F113" i="5"/>
  <c r="F144" i="5"/>
  <c r="J113" i="5"/>
  <c r="J144" i="5"/>
  <c r="N113" i="5"/>
  <c r="N144" i="5"/>
  <c r="F117" i="5"/>
  <c r="F148" i="5"/>
  <c r="J117" i="5"/>
  <c r="J148" i="5"/>
  <c r="N117" i="5"/>
  <c r="N148" i="5"/>
  <c r="F118" i="5"/>
  <c r="F149" i="5"/>
  <c r="J118" i="5"/>
  <c r="J149" i="5"/>
  <c r="N118" i="5"/>
  <c r="N149" i="5"/>
  <c r="F119" i="5"/>
  <c r="F150" i="5"/>
  <c r="J119" i="5"/>
  <c r="J150" i="5"/>
  <c r="N119" i="5"/>
  <c r="N150" i="5"/>
  <c r="F123" i="5"/>
  <c r="F154" i="5"/>
  <c r="J123" i="5"/>
  <c r="J154" i="5"/>
  <c r="C124" i="5"/>
  <c r="C155" i="5"/>
  <c r="G124" i="5"/>
  <c r="Q124" i="5" s="1"/>
  <c r="G155" i="5"/>
  <c r="Q155" i="5" s="1"/>
  <c r="K124" i="5"/>
  <c r="R124" i="5" s="1"/>
  <c r="K155" i="5"/>
  <c r="R155" i="5" s="1"/>
  <c r="D125" i="5"/>
  <c r="D156" i="5"/>
  <c r="H125" i="5"/>
  <c r="H156" i="5"/>
  <c r="L125" i="5"/>
  <c r="L156" i="5"/>
  <c r="D117" i="2"/>
  <c r="D148" i="2"/>
  <c r="H117" i="2"/>
  <c r="H148" i="2"/>
  <c r="D118" i="2"/>
  <c r="D149" i="2"/>
  <c r="H118" i="2"/>
  <c r="H149" i="2"/>
  <c r="D119" i="2"/>
  <c r="D150" i="2"/>
  <c r="L119" i="2"/>
  <c r="L150" i="2"/>
  <c r="D123" i="2"/>
  <c r="D154" i="2"/>
  <c r="H123" i="2"/>
  <c r="H154" i="2"/>
  <c r="D124" i="2"/>
  <c r="D155" i="2"/>
  <c r="L124" i="2"/>
  <c r="L155" i="2"/>
  <c r="D125" i="2"/>
  <c r="D156" i="2"/>
  <c r="L125" i="2"/>
  <c r="L156" i="2"/>
  <c r="E117" i="2"/>
  <c r="E148" i="2"/>
  <c r="I117" i="2"/>
  <c r="I148" i="2"/>
  <c r="M117" i="2"/>
  <c r="M148" i="2"/>
  <c r="I118" i="2"/>
  <c r="I149" i="2"/>
  <c r="M118" i="2"/>
  <c r="M149" i="2"/>
  <c r="E119" i="2"/>
  <c r="E150" i="2"/>
  <c r="I119" i="2"/>
  <c r="I150" i="2"/>
  <c r="E123" i="2"/>
  <c r="E154" i="2"/>
  <c r="I123" i="2"/>
  <c r="I154" i="2"/>
  <c r="M123" i="2"/>
  <c r="M154" i="2"/>
  <c r="E124" i="2"/>
  <c r="E155" i="2"/>
  <c r="I124" i="2"/>
  <c r="I155" i="2"/>
  <c r="M124" i="2"/>
  <c r="M155" i="2"/>
  <c r="I125" i="2"/>
  <c r="I156" i="2"/>
  <c r="M125" i="2"/>
  <c r="M156" i="2"/>
  <c r="F117" i="2"/>
  <c r="F148" i="2"/>
  <c r="J117" i="2"/>
  <c r="J148" i="2"/>
  <c r="N117" i="2"/>
  <c r="N148" i="2"/>
  <c r="F118" i="2"/>
  <c r="F149" i="2"/>
  <c r="J118" i="2"/>
  <c r="J149" i="2"/>
  <c r="N118" i="2"/>
  <c r="N149" i="2"/>
  <c r="F119" i="2"/>
  <c r="F150" i="2"/>
  <c r="J119" i="2"/>
  <c r="J150" i="2"/>
  <c r="N119" i="2"/>
  <c r="N150" i="2"/>
  <c r="F123" i="2"/>
  <c r="F154" i="2"/>
  <c r="J123" i="2"/>
  <c r="J154" i="2"/>
  <c r="N123" i="2"/>
  <c r="N154" i="2"/>
  <c r="F124" i="2"/>
  <c r="F155" i="2"/>
  <c r="J124" i="2"/>
  <c r="J155" i="2"/>
  <c r="N124" i="2"/>
  <c r="N155" i="2"/>
  <c r="F125" i="2"/>
  <c r="F156" i="2"/>
  <c r="J125" i="2"/>
  <c r="J156" i="2"/>
  <c r="N125" i="2"/>
  <c r="N156" i="2"/>
  <c r="C117" i="2"/>
  <c r="C148" i="2"/>
  <c r="G117" i="2"/>
  <c r="G148" i="2"/>
  <c r="K117" i="2"/>
  <c r="K148" i="2"/>
  <c r="C118" i="2"/>
  <c r="C149" i="2"/>
  <c r="G118" i="2"/>
  <c r="G149" i="2"/>
  <c r="K118" i="2"/>
  <c r="K149" i="2"/>
  <c r="C119" i="2"/>
  <c r="C150" i="2"/>
  <c r="G119" i="2"/>
  <c r="G150" i="2"/>
  <c r="K119" i="2"/>
  <c r="R119" i="2" s="1"/>
  <c r="K150" i="2"/>
  <c r="R150" i="2" s="1"/>
  <c r="C123" i="2"/>
  <c r="C154" i="2"/>
  <c r="G123" i="2"/>
  <c r="G154" i="2"/>
  <c r="K123" i="2"/>
  <c r="K154" i="2"/>
  <c r="C124" i="2"/>
  <c r="C155" i="2"/>
  <c r="G124" i="2"/>
  <c r="G155" i="2"/>
  <c r="K124" i="2"/>
  <c r="R124" i="2" s="1"/>
  <c r="K155" i="2"/>
  <c r="R155" i="2" s="1"/>
  <c r="C125" i="2"/>
  <c r="C156" i="2"/>
  <c r="G125" i="2"/>
  <c r="G156" i="2"/>
  <c r="K125" i="2"/>
  <c r="K156" i="2"/>
  <c r="L117" i="2"/>
  <c r="L148" i="2"/>
  <c r="L118" i="2"/>
  <c r="L149" i="2"/>
  <c r="H119" i="2"/>
  <c r="H150" i="2"/>
  <c r="L123" i="2"/>
  <c r="L154" i="2"/>
  <c r="H124" i="2"/>
  <c r="H155" i="2"/>
  <c r="H125" i="2"/>
  <c r="H156" i="2"/>
  <c r="E118" i="2"/>
  <c r="E149" i="2"/>
  <c r="M119" i="2"/>
  <c r="M150" i="2"/>
  <c r="M162" i="2" s="1"/>
  <c r="E125" i="2"/>
  <c r="E156" i="2"/>
  <c r="M132" i="20"/>
  <c r="M126" i="20"/>
  <c r="L132" i="20"/>
  <c r="L126" i="20"/>
  <c r="N132" i="20"/>
  <c r="N126" i="20"/>
  <c r="D53" i="5"/>
  <c r="L53" i="5"/>
  <c r="F53" i="5"/>
  <c r="J53" i="5"/>
  <c r="N53" i="5"/>
  <c r="C53" i="5"/>
  <c r="H53" i="5"/>
  <c r="E53" i="5"/>
  <c r="I53" i="5"/>
  <c r="M53" i="5"/>
  <c r="C54" i="5"/>
  <c r="G54" i="5"/>
  <c r="C55" i="5"/>
  <c r="G55" i="5"/>
  <c r="K55" i="5"/>
  <c r="D54" i="5"/>
  <c r="H54" i="5"/>
  <c r="L54" i="5"/>
  <c r="D55" i="5"/>
  <c r="H55" i="5"/>
  <c r="L55" i="5"/>
  <c r="E54" i="5"/>
  <c r="I54" i="5"/>
  <c r="M54" i="5"/>
  <c r="E55" i="5"/>
  <c r="I55" i="5"/>
  <c r="M55" i="5"/>
  <c r="F54" i="5"/>
  <c r="J54" i="5"/>
  <c r="N54" i="5"/>
  <c r="F55" i="5"/>
  <c r="J55" i="5"/>
  <c r="N55" i="5"/>
  <c r="C53" i="2"/>
  <c r="K53" i="2"/>
  <c r="D53" i="2"/>
  <c r="H53" i="2"/>
  <c r="L53" i="2"/>
  <c r="E53" i="2"/>
  <c r="M53" i="2"/>
  <c r="F53" i="2"/>
  <c r="J53" i="2"/>
  <c r="N53" i="2"/>
  <c r="C54" i="2"/>
  <c r="D54" i="2"/>
  <c r="L54" i="2"/>
  <c r="H55" i="2"/>
  <c r="E54" i="2"/>
  <c r="I54" i="2"/>
  <c r="M54" i="2"/>
  <c r="I55" i="2"/>
  <c r="M55" i="2"/>
  <c r="G54" i="2"/>
  <c r="K54" i="2"/>
  <c r="H54" i="2"/>
  <c r="D55" i="2"/>
  <c r="L55" i="2"/>
  <c r="F54" i="2"/>
  <c r="J54" i="2"/>
  <c r="N54" i="2"/>
  <c r="F55" i="2"/>
  <c r="J55" i="2"/>
  <c r="N55" i="2"/>
  <c r="K53" i="5"/>
  <c r="G53" i="5"/>
  <c r="I53" i="2"/>
  <c r="C55" i="2"/>
  <c r="G55" i="2"/>
  <c r="K55" i="2"/>
  <c r="K54" i="5"/>
  <c r="G53" i="2"/>
  <c r="E55" i="2"/>
  <c r="M272" i="5" l="1"/>
  <c r="M260" i="5"/>
  <c r="K260" i="5"/>
  <c r="K272" i="5"/>
  <c r="F270" i="5"/>
  <c r="F258" i="5"/>
  <c r="E272" i="5"/>
  <c r="E260" i="5"/>
  <c r="N258" i="5"/>
  <c r="N270" i="5"/>
  <c r="K270" i="5"/>
  <c r="K258" i="5"/>
  <c r="F272" i="5"/>
  <c r="F260" i="5"/>
  <c r="I271" i="5"/>
  <c r="I259" i="5"/>
  <c r="D260" i="5"/>
  <c r="D272" i="5"/>
  <c r="C271" i="5"/>
  <c r="C259" i="5"/>
  <c r="H270" i="5"/>
  <c r="H258" i="5"/>
  <c r="N271" i="5"/>
  <c r="N259" i="5"/>
  <c r="I272" i="5"/>
  <c r="I260" i="5"/>
  <c r="E271" i="5"/>
  <c r="E259" i="5"/>
  <c r="L259" i="5"/>
  <c r="L271" i="5"/>
  <c r="G260" i="5"/>
  <c r="G272" i="5"/>
  <c r="M258" i="5"/>
  <c r="M270" i="5"/>
  <c r="C270" i="5"/>
  <c r="C258" i="5"/>
  <c r="L270" i="5"/>
  <c r="L258" i="5"/>
  <c r="K259" i="5"/>
  <c r="K271" i="5"/>
  <c r="N272" i="5"/>
  <c r="N260" i="5"/>
  <c r="J271" i="5"/>
  <c r="J259" i="5"/>
  <c r="L272" i="5"/>
  <c r="L260" i="5"/>
  <c r="H271" i="5"/>
  <c r="H259" i="5"/>
  <c r="C272" i="5"/>
  <c r="C260" i="5"/>
  <c r="I258" i="5"/>
  <c r="I270" i="5"/>
  <c r="D258" i="5"/>
  <c r="D270" i="5"/>
  <c r="G270" i="5"/>
  <c r="G258" i="5"/>
  <c r="J272" i="5"/>
  <c r="J260" i="5"/>
  <c r="F271" i="5"/>
  <c r="F259" i="5"/>
  <c r="M271" i="5"/>
  <c r="M259" i="5"/>
  <c r="H272" i="5"/>
  <c r="H260" i="5"/>
  <c r="D271" i="5"/>
  <c r="D259" i="5"/>
  <c r="G259" i="5"/>
  <c r="G271" i="5"/>
  <c r="E270" i="5"/>
  <c r="E258" i="5"/>
  <c r="J258" i="5"/>
  <c r="J270" i="5"/>
  <c r="C272" i="2"/>
  <c r="C260" i="2"/>
  <c r="K272" i="2"/>
  <c r="K260" i="2"/>
  <c r="N98" i="2"/>
  <c r="N104" i="2" s="1"/>
  <c r="N271" i="2"/>
  <c r="N259" i="2"/>
  <c r="D99" i="2"/>
  <c r="D105" i="2" s="1"/>
  <c r="D272" i="2"/>
  <c r="D260" i="2"/>
  <c r="M99" i="2"/>
  <c r="M105" i="2" s="1"/>
  <c r="M272" i="2"/>
  <c r="M260" i="2"/>
  <c r="E98" i="2"/>
  <c r="E104" i="2" s="1"/>
  <c r="E271" i="2"/>
  <c r="E259" i="2"/>
  <c r="C271" i="2"/>
  <c r="C259" i="2"/>
  <c r="M97" i="2"/>
  <c r="M103" i="2" s="1"/>
  <c r="M258" i="2"/>
  <c r="M270" i="2"/>
  <c r="D97" i="2"/>
  <c r="D103" i="2" s="1"/>
  <c r="D270" i="2"/>
  <c r="D258" i="2"/>
  <c r="J99" i="5"/>
  <c r="J105" i="5" s="1"/>
  <c r="F98" i="5"/>
  <c r="F104" i="5" s="1"/>
  <c r="M98" i="5"/>
  <c r="M104" i="5" s="1"/>
  <c r="H99" i="5"/>
  <c r="H105" i="5" s="1"/>
  <c r="D98" i="5"/>
  <c r="D104" i="5" s="1"/>
  <c r="E97" i="5"/>
  <c r="E103" i="5" s="1"/>
  <c r="J97" i="5"/>
  <c r="J103" i="5" s="1"/>
  <c r="G272" i="2"/>
  <c r="G260" i="2"/>
  <c r="N99" i="2"/>
  <c r="N105" i="2" s="1"/>
  <c r="N272" i="2"/>
  <c r="N260" i="2"/>
  <c r="J98" i="2"/>
  <c r="J104" i="2" s="1"/>
  <c r="J271" i="2"/>
  <c r="J259" i="2"/>
  <c r="H98" i="2"/>
  <c r="H104" i="2" s="1"/>
  <c r="H259" i="2"/>
  <c r="H271" i="2"/>
  <c r="I99" i="2"/>
  <c r="I105" i="2" s="1"/>
  <c r="I260" i="2"/>
  <c r="I272" i="2"/>
  <c r="H99" i="2"/>
  <c r="H105" i="2" s="1"/>
  <c r="H272" i="2"/>
  <c r="H260" i="2"/>
  <c r="N97" i="2"/>
  <c r="N103" i="2" s="1"/>
  <c r="N258" i="2"/>
  <c r="N270" i="2"/>
  <c r="E97" i="2"/>
  <c r="E103" i="2" s="1"/>
  <c r="E258" i="2"/>
  <c r="E270" i="2"/>
  <c r="K270" i="2"/>
  <c r="K258" i="2"/>
  <c r="F99" i="5"/>
  <c r="F105" i="5" s="1"/>
  <c r="M99" i="5"/>
  <c r="M105" i="5" s="1"/>
  <c r="I98" i="5"/>
  <c r="I104" i="5" s="1"/>
  <c r="D99" i="5"/>
  <c r="D105" i="5" s="1"/>
  <c r="F97" i="5"/>
  <c r="F103" i="5" s="1"/>
  <c r="E99" i="2"/>
  <c r="E105" i="2" s="1"/>
  <c r="E260" i="2"/>
  <c r="E272" i="2"/>
  <c r="J99" i="2"/>
  <c r="J105" i="2" s="1"/>
  <c r="J272" i="2"/>
  <c r="J260" i="2"/>
  <c r="F98" i="2"/>
  <c r="F104" i="2" s="1"/>
  <c r="F271" i="2"/>
  <c r="F259" i="2"/>
  <c r="K271" i="2"/>
  <c r="K259" i="2"/>
  <c r="M98" i="2"/>
  <c r="M104" i="2" s="1"/>
  <c r="M271" i="2"/>
  <c r="M259" i="2"/>
  <c r="L98" i="2"/>
  <c r="L104" i="2" s="1"/>
  <c r="L271" i="2"/>
  <c r="L259" i="2"/>
  <c r="J97" i="2"/>
  <c r="J103" i="2" s="1"/>
  <c r="J270" i="2"/>
  <c r="J258" i="2"/>
  <c r="L97" i="2"/>
  <c r="L103" i="2" s="1"/>
  <c r="L270" i="2"/>
  <c r="L258" i="2"/>
  <c r="C270" i="2"/>
  <c r="C258" i="2"/>
  <c r="N98" i="5"/>
  <c r="N104" i="5" s="1"/>
  <c r="I99" i="5"/>
  <c r="I105" i="5" s="1"/>
  <c r="E98" i="5"/>
  <c r="E104" i="5" s="1"/>
  <c r="L98" i="5"/>
  <c r="L104" i="5" s="1"/>
  <c r="M97" i="5"/>
  <c r="M103" i="5" s="1"/>
  <c r="L97" i="5"/>
  <c r="L103" i="5" s="1"/>
  <c r="G270" i="2"/>
  <c r="G258" i="2"/>
  <c r="I97" i="2"/>
  <c r="I103" i="2" s="1"/>
  <c r="I270" i="2"/>
  <c r="I258" i="2"/>
  <c r="F99" i="2"/>
  <c r="F105" i="2" s="1"/>
  <c r="F272" i="2"/>
  <c r="F260" i="2"/>
  <c r="L99" i="2"/>
  <c r="L105" i="2" s="1"/>
  <c r="L272" i="2"/>
  <c r="L260" i="2"/>
  <c r="G271" i="2"/>
  <c r="G259" i="2"/>
  <c r="I98" i="2"/>
  <c r="I104" i="2" s="1"/>
  <c r="I271" i="2"/>
  <c r="I259" i="2"/>
  <c r="D98" i="2"/>
  <c r="D104" i="2" s="1"/>
  <c r="D271" i="2"/>
  <c r="D259" i="2"/>
  <c r="F97" i="2"/>
  <c r="F103" i="2" s="1"/>
  <c r="F258" i="2"/>
  <c r="F270" i="2"/>
  <c r="H97" i="2"/>
  <c r="H103" i="2" s="1"/>
  <c r="H270" i="2"/>
  <c r="H258" i="2"/>
  <c r="N99" i="5"/>
  <c r="N105" i="5" s="1"/>
  <c r="J98" i="5"/>
  <c r="J104" i="5" s="1"/>
  <c r="E99" i="5"/>
  <c r="E105" i="5" s="1"/>
  <c r="L99" i="5"/>
  <c r="L105" i="5" s="1"/>
  <c r="H98" i="5"/>
  <c r="H104" i="5" s="1"/>
  <c r="I97" i="5"/>
  <c r="I103" i="5" s="1"/>
  <c r="N97" i="5"/>
  <c r="N103" i="5" s="1"/>
  <c r="D97" i="5"/>
  <c r="D103" i="5" s="1"/>
  <c r="Q125" i="2"/>
  <c r="Q123" i="2"/>
  <c r="Q118" i="2"/>
  <c r="R113" i="5"/>
  <c r="Q118" i="5"/>
  <c r="R112" i="5"/>
  <c r="Q111" i="5"/>
  <c r="Q125" i="5"/>
  <c r="R156" i="2"/>
  <c r="Q155" i="2"/>
  <c r="Q150" i="2"/>
  <c r="Q148" i="2"/>
  <c r="T155" i="5"/>
  <c r="R149" i="5"/>
  <c r="Q148" i="5"/>
  <c r="R156" i="5"/>
  <c r="R154" i="5"/>
  <c r="G97" i="2"/>
  <c r="G103" i="2" s="1"/>
  <c r="Q53" i="2"/>
  <c r="G98" i="2"/>
  <c r="G104" i="2" s="1"/>
  <c r="Q54" i="2"/>
  <c r="R117" i="2"/>
  <c r="T118" i="5"/>
  <c r="Q112" i="5"/>
  <c r="T123" i="5"/>
  <c r="T117" i="5"/>
  <c r="K99" i="2"/>
  <c r="K105" i="2" s="1"/>
  <c r="R55" i="2"/>
  <c r="T154" i="2"/>
  <c r="R149" i="2"/>
  <c r="K160" i="5"/>
  <c r="R142" i="5"/>
  <c r="T156" i="5"/>
  <c r="T150" i="5"/>
  <c r="Q144" i="5"/>
  <c r="T55" i="2"/>
  <c r="O60" i="2" s="1"/>
  <c r="K98" i="2"/>
  <c r="K104" i="2" s="1"/>
  <c r="R54" i="2"/>
  <c r="T53" i="2"/>
  <c r="O58" i="2" s="1"/>
  <c r="G99" i="5"/>
  <c r="G105" i="5" s="1"/>
  <c r="Q55" i="5"/>
  <c r="T53" i="5"/>
  <c r="O58" i="5" s="1"/>
  <c r="Q156" i="2"/>
  <c r="T155" i="2"/>
  <c r="Q154" i="2"/>
  <c r="T150" i="2"/>
  <c r="Q149" i="2"/>
  <c r="R148" i="2"/>
  <c r="T148" i="2"/>
  <c r="Q150" i="5"/>
  <c r="T149" i="5"/>
  <c r="R144" i="5"/>
  <c r="Q143" i="5"/>
  <c r="T142" i="5"/>
  <c r="Q156" i="5"/>
  <c r="T154" i="5"/>
  <c r="Q149" i="5"/>
  <c r="T148" i="5"/>
  <c r="R143" i="5"/>
  <c r="Q142" i="5"/>
  <c r="K98" i="5"/>
  <c r="K104" i="5" s="1"/>
  <c r="R54" i="5"/>
  <c r="T55" i="5"/>
  <c r="O60" i="5" s="1"/>
  <c r="T124" i="2"/>
  <c r="T119" i="2"/>
  <c r="T117" i="2"/>
  <c r="Q119" i="5"/>
  <c r="T111" i="5"/>
  <c r="G97" i="5"/>
  <c r="G103" i="5" s="1"/>
  <c r="Q53" i="5"/>
  <c r="T54" i="2"/>
  <c r="O59" i="2" s="1"/>
  <c r="G98" i="5"/>
  <c r="G104" i="5" s="1"/>
  <c r="Q54" i="5"/>
  <c r="T156" i="2"/>
  <c r="R154" i="2"/>
  <c r="T149" i="2"/>
  <c r="C162" i="5"/>
  <c r="T144" i="5"/>
  <c r="R148" i="5"/>
  <c r="T143" i="5"/>
  <c r="G99" i="2"/>
  <c r="G105" i="2" s="1"/>
  <c r="Q55" i="2"/>
  <c r="K97" i="5"/>
  <c r="K103" i="5" s="1"/>
  <c r="R53" i="5"/>
  <c r="K97" i="2"/>
  <c r="K103" i="2" s="1"/>
  <c r="R53" i="2"/>
  <c r="K99" i="5"/>
  <c r="K105" i="5" s="1"/>
  <c r="R55" i="5"/>
  <c r="T54" i="5"/>
  <c r="O59" i="5" s="1"/>
  <c r="R125" i="2"/>
  <c r="T125" i="2"/>
  <c r="Q124" i="2"/>
  <c r="R123" i="2"/>
  <c r="T123" i="2"/>
  <c r="Q119" i="2"/>
  <c r="R118" i="2"/>
  <c r="T118" i="2"/>
  <c r="Q117" i="2"/>
  <c r="T124" i="5"/>
  <c r="R118" i="5"/>
  <c r="Q117" i="5"/>
  <c r="T113" i="5"/>
  <c r="R111" i="5"/>
  <c r="R125" i="5"/>
  <c r="T125" i="5"/>
  <c r="R123" i="5"/>
  <c r="T119" i="5"/>
  <c r="R117" i="5"/>
  <c r="Q113" i="5"/>
  <c r="T112" i="5"/>
  <c r="C160" i="5"/>
  <c r="L161" i="2"/>
  <c r="N162" i="5"/>
  <c r="F162" i="5"/>
  <c r="J161" i="5"/>
  <c r="N160" i="5"/>
  <c r="I162" i="5"/>
  <c r="M161" i="5"/>
  <c r="E161" i="5"/>
  <c r="L161" i="5"/>
  <c r="H160" i="5"/>
  <c r="G162" i="5"/>
  <c r="G162" i="2"/>
  <c r="K161" i="2"/>
  <c r="R161" i="2" s="1"/>
  <c r="C161" i="2"/>
  <c r="G160" i="2"/>
  <c r="J162" i="2"/>
  <c r="N161" i="2"/>
  <c r="F161" i="2"/>
  <c r="J160" i="2"/>
  <c r="I162" i="2"/>
  <c r="M160" i="2"/>
  <c r="E160" i="2"/>
  <c r="D162" i="5"/>
  <c r="I160" i="5"/>
  <c r="L162" i="5"/>
  <c r="C161" i="5"/>
  <c r="J162" i="5"/>
  <c r="N161" i="5"/>
  <c r="F161" i="5"/>
  <c r="J160" i="5"/>
  <c r="H161" i="5"/>
  <c r="D160" i="5"/>
  <c r="K162" i="5"/>
  <c r="R162" i="5" s="1"/>
  <c r="G161" i="5"/>
  <c r="M162" i="5"/>
  <c r="E162" i="5"/>
  <c r="I161" i="5"/>
  <c r="M160" i="5"/>
  <c r="E160" i="5"/>
  <c r="H162" i="5"/>
  <c r="D161" i="5"/>
  <c r="K161" i="5"/>
  <c r="G160" i="5"/>
  <c r="F160" i="5"/>
  <c r="L160" i="5"/>
  <c r="E161" i="2"/>
  <c r="H162" i="2"/>
  <c r="L160" i="2"/>
  <c r="K162" i="2"/>
  <c r="C162" i="2"/>
  <c r="G161" i="2"/>
  <c r="K160" i="2"/>
  <c r="C160" i="2"/>
  <c r="N162" i="2"/>
  <c r="F162" i="2"/>
  <c r="J161" i="2"/>
  <c r="N160" i="2"/>
  <c r="F160" i="2"/>
  <c r="E162" i="2"/>
  <c r="I161" i="2"/>
  <c r="I160" i="2"/>
  <c r="L162" i="2"/>
  <c r="H161" i="2"/>
  <c r="H160" i="2"/>
  <c r="M161" i="2"/>
  <c r="D162" i="2"/>
  <c r="D161" i="2"/>
  <c r="D160" i="2"/>
  <c r="C99" i="2"/>
  <c r="C105" i="2" s="1"/>
  <c r="A55" i="2"/>
  <c r="C98" i="2"/>
  <c r="C104" i="2" s="1"/>
  <c r="A54" i="2"/>
  <c r="C97" i="2"/>
  <c r="C103" i="2" s="1"/>
  <c r="A53" i="2"/>
  <c r="H97" i="5"/>
  <c r="H103" i="5" s="1"/>
  <c r="C97" i="5"/>
  <c r="C103" i="5" s="1"/>
  <c r="A53" i="5"/>
  <c r="C99" i="5"/>
  <c r="C105" i="5" s="1"/>
  <c r="A55" i="5"/>
  <c r="C98" i="5"/>
  <c r="C104" i="5" s="1"/>
  <c r="A54" i="5"/>
  <c r="W55" i="5"/>
  <c r="X55" i="5" s="1"/>
  <c r="W54" i="2"/>
  <c r="X54" i="2" s="1"/>
  <c r="W53" i="5"/>
  <c r="X53" i="5" s="1"/>
  <c r="W55" i="2"/>
  <c r="X55" i="2" s="1"/>
  <c r="W54" i="5"/>
  <c r="X54" i="5" s="1"/>
  <c r="W53" i="2"/>
  <c r="X53" i="2" s="1"/>
  <c r="R160" i="2" l="1"/>
  <c r="Q271" i="5"/>
  <c r="R271" i="5"/>
  <c r="Q271" i="2"/>
  <c r="T258" i="5"/>
  <c r="Q259" i="5"/>
  <c r="Q270" i="5"/>
  <c r="R259" i="5"/>
  <c r="T270" i="5"/>
  <c r="Q260" i="5"/>
  <c r="R270" i="5"/>
  <c r="Q258" i="5"/>
  <c r="Q272" i="5"/>
  <c r="R258" i="5"/>
  <c r="T260" i="5"/>
  <c r="T259" i="5"/>
  <c r="R272" i="5"/>
  <c r="T272" i="5"/>
  <c r="T271" i="5"/>
  <c r="R260" i="5"/>
  <c r="R272" i="2"/>
  <c r="R259" i="2"/>
  <c r="Q260" i="2"/>
  <c r="T272" i="2"/>
  <c r="R270" i="2"/>
  <c r="R258" i="2"/>
  <c r="Q272" i="2"/>
  <c r="T259" i="2"/>
  <c r="Q258" i="2"/>
  <c r="T258" i="2"/>
  <c r="T271" i="2"/>
  <c r="Q259" i="2"/>
  <c r="Q270" i="2"/>
  <c r="T270" i="2"/>
  <c r="R271" i="2"/>
  <c r="R260" i="2"/>
  <c r="T260" i="2"/>
  <c r="Q161" i="2"/>
  <c r="G91" i="20"/>
  <c r="Q160" i="2"/>
  <c r="Q160" i="5"/>
  <c r="R161" i="5"/>
  <c r="Q162" i="5"/>
  <c r="Q161" i="5"/>
  <c r="R58" i="2"/>
  <c r="T162" i="5"/>
  <c r="R59" i="5"/>
  <c r="T161" i="5"/>
  <c r="O166" i="5" s="1"/>
  <c r="T161" i="2"/>
  <c r="Q60" i="2"/>
  <c r="Q58" i="5"/>
  <c r="R162" i="2"/>
  <c r="R60" i="5"/>
  <c r="Q59" i="5"/>
  <c r="R59" i="2"/>
  <c r="Q58" i="2"/>
  <c r="T160" i="5"/>
  <c r="Q59" i="2"/>
  <c r="T162" i="2"/>
  <c r="O167" i="2" s="1"/>
  <c r="T160" i="2"/>
  <c r="H92" i="20"/>
  <c r="Q162" i="2"/>
  <c r="R58" i="5"/>
  <c r="Q60" i="5"/>
  <c r="R160" i="5"/>
  <c r="R60" i="2"/>
  <c r="N60" i="5"/>
  <c r="H93" i="20"/>
  <c r="E58" i="5"/>
  <c r="H91" i="20"/>
  <c r="I59" i="2"/>
  <c r="G92" i="20"/>
  <c r="H60" i="2"/>
  <c r="G93" i="20"/>
  <c r="H99" i="20"/>
  <c r="J60" i="5"/>
  <c r="G60" i="5"/>
  <c r="H60" i="5"/>
  <c r="K60" i="5"/>
  <c r="F58" i="5"/>
  <c r="L58" i="5"/>
  <c r="I60" i="5"/>
  <c r="E60" i="5"/>
  <c r="D60" i="5"/>
  <c r="F60" i="5"/>
  <c r="C60" i="5"/>
  <c r="L60" i="5"/>
  <c r="M60" i="5"/>
  <c r="K59" i="2"/>
  <c r="N59" i="2"/>
  <c r="G98" i="20"/>
  <c r="L59" i="2"/>
  <c r="C59" i="2"/>
  <c r="F59" i="2"/>
  <c r="E59" i="2"/>
  <c r="M59" i="2"/>
  <c r="J59" i="2"/>
  <c r="H59" i="2"/>
  <c r="D59" i="2"/>
  <c r="G59" i="2"/>
  <c r="C58" i="5"/>
  <c r="I58" i="5"/>
  <c r="G58" i="5"/>
  <c r="J58" i="5"/>
  <c r="K58" i="5"/>
  <c r="N58" i="5"/>
  <c r="H58" i="5"/>
  <c r="H97" i="20"/>
  <c r="D58" i="5"/>
  <c r="M58" i="5"/>
  <c r="H98" i="20"/>
  <c r="M60" i="2"/>
  <c r="I60" i="2"/>
  <c r="G99" i="20"/>
  <c r="F60" i="2"/>
  <c r="D60" i="2"/>
  <c r="N60" i="2"/>
  <c r="E60" i="2"/>
  <c r="K60" i="2"/>
  <c r="J60" i="2"/>
  <c r="L60" i="2"/>
  <c r="C60" i="2"/>
  <c r="G60" i="2"/>
  <c r="I59" i="5"/>
  <c r="C59" i="5"/>
  <c r="D59" i="5"/>
  <c r="M59" i="5"/>
  <c r="J59" i="5"/>
  <c r="H59" i="5"/>
  <c r="F59" i="5"/>
  <c r="G59" i="5"/>
  <c r="N59" i="5"/>
  <c r="E59" i="5"/>
  <c r="L59" i="5"/>
  <c r="K59" i="5"/>
  <c r="G58" i="2"/>
  <c r="G97" i="20"/>
  <c r="M58" i="2"/>
  <c r="C58" i="2"/>
  <c r="F58" i="2"/>
  <c r="H58" i="2"/>
  <c r="I58" i="2"/>
  <c r="J58" i="2"/>
  <c r="L58" i="2"/>
  <c r="N58" i="2"/>
  <c r="K58" i="2"/>
  <c r="E58" i="2"/>
  <c r="D58" i="2"/>
  <c r="Q167" i="5" l="1"/>
  <c r="Q166" i="5"/>
  <c r="Q167" i="2"/>
  <c r="Q165" i="2"/>
  <c r="O165" i="2"/>
  <c r="Q165" i="5"/>
  <c r="O165" i="5"/>
  <c r="R165" i="5"/>
  <c r="R167" i="2"/>
  <c r="Q166" i="2"/>
  <c r="O166" i="2"/>
  <c r="R165" i="2"/>
  <c r="R166" i="2"/>
  <c r="R166" i="5"/>
  <c r="R167" i="5"/>
  <c r="O167" i="5"/>
  <c r="T59" i="5"/>
  <c r="T58" i="5"/>
  <c r="T60" i="5"/>
  <c r="T60" i="2"/>
  <c r="T59" i="2"/>
  <c r="T58" i="2"/>
  <c r="N209" i="5" l="1"/>
  <c r="N240" i="5" s="1"/>
  <c r="M209" i="5"/>
  <c r="M240" i="5" s="1"/>
  <c r="L209" i="5"/>
  <c r="L240" i="5" s="1"/>
  <c r="K209" i="5"/>
  <c r="J209" i="5"/>
  <c r="J240" i="5" s="1"/>
  <c r="I209" i="5"/>
  <c r="I240" i="5" s="1"/>
  <c r="H209" i="5"/>
  <c r="H240" i="5" s="1"/>
  <c r="G209" i="5"/>
  <c r="F209" i="5"/>
  <c r="F240" i="5" s="1"/>
  <c r="E209" i="5"/>
  <c r="E240" i="5" s="1"/>
  <c r="D209" i="5"/>
  <c r="D240" i="5" s="1"/>
  <c r="C209" i="5"/>
  <c r="N208" i="5"/>
  <c r="N239" i="5" s="1"/>
  <c r="M208" i="5"/>
  <c r="M239" i="5" s="1"/>
  <c r="L208" i="5"/>
  <c r="L239" i="5" s="1"/>
  <c r="K208" i="5"/>
  <c r="J208" i="5"/>
  <c r="J239" i="5" s="1"/>
  <c r="I208" i="5"/>
  <c r="I239" i="5" s="1"/>
  <c r="H208" i="5"/>
  <c r="H239" i="5" s="1"/>
  <c r="G208" i="5"/>
  <c r="F208" i="5"/>
  <c r="F239" i="5" s="1"/>
  <c r="E208" i="5"/>
  <c r="E239" i="5" s="1"/>
  <c r="D208" i="5"/>
  <c r="D239" i="5" s="1"/>
  <c r="C208" i="5"/>
  <c r="N207" i="5"/>
  <c r="N238" i="5" s="1"/>
  <c r="M207" i="5"/>
  <c r="M238" i="5" s="1"/>
  <c r="L207" i="5"/>
  <c r="L238" i="5" s="1"/>
  <c r="K207" i="5"/>
  <c r="J207" i="5"/>
  <c r="J238" i="5" s="1"/>
  <c r="I207" i="5"/>
  <c r="I238" i="5" s="1"/>
  <c r="H207" i="5"/>
  <c r="H238" i="5" s="1"/>
  <c r="G207" i="5"/>
  <c r="F207" i="5"/>
  <c r="F238" i="5" s="1"/>
  <c r="E207" i="5"/>
  <c r="E238" i="5" s="1"/>
  <c r="D207" i="5"/>
  <c r="D238" i="5" s="1"/>
  <c r="C207" i="5"/>
  <c r="N80" i="5"/>
  <c r="M80" i="5"/>
  <c r="L80" i="5"/>
  <c r="K80" i="5"/>
  <c r="J80" i="5"/>
  <c r="I80" i="5"/>
  <c r="H80" i="5"/>
  <c r="G80" i="5"/>
  <c r="F80" i="5"/>
  <c r="E80" i="5"/>
  <c r="D80" i="5"/>
  <c r="C80" i="5"/>
  <c r="N79" i="5"/>
  <c r="M79" i="5"/>
  <c r="L79" i="5"/>
  <c r="K79" i="5"/>
  <c r="J79" i="5"/>
  <c r="I79" i="5"/>
  <c r="H79" i="5"/>
  <c r="G79" i="5"/>
  <c r="F79" i="5"/>
  <c r="E79" i="5"/>
  <c r="D79" i="5"/>
  <c r="C79" i="5"/>
  <c r="N78" i="5"/>
  <c r="M78" i="5"/>
  <c r="L78" i="5"/>
  <c r="K78" i="5"/>
  <c r="J78" i="5"/>
  <c r="I78" i="5"/>
  <c r="H78" i="5"/>
  <c r="G78" i="5"/>
  <c r="F78" i="5"/>
  <c r="E78" i="5"/>
  <c r="D78" i="5"/>
  <c r="C78" i="5"/>
  <c r="N13" i="5"/>
  <c r="M13" i="5"/>
  <c r="L13" i="5"/>
  <c r="K13" i="5"/>
  <c r="J13" i="5"/>
  <c r="I13" i="5"/>
  <c r="H13" i="5"/>
  <c r="G13" i="5"/>
  <c r="F13" i="5"/>
  <c r="E13" i="5"/>
  <c r="D13" i="5"/>
  <c r="C13" i="5"/>
  <c r="N12" i="5"/>
  <c r="M12" i="5"/>
  <c r="L12" i="5"/>
  <c r="K12" i="5"/>
  <c r="J12" i="5"/>
  <c r="I12" i="5"/>
  <c r="H12" i="5"/>
  <c r="G12" i="5"/>
  <c r="F12" i="5"/>
  <c r="E12" i="5"/>
  <c r="D12" i="5"/>
  <c r="C12" i="5"/>
  <c r="N11" i="5"/>
  <c r="M11" i="5"/>
  <c r="L11" i="5"/>
  <c r="K11" i="5"/>
  <c r="J11" i="5"/>
  <c r="I11" i="5"/>
  <c r="H11" i="5"/>
  <c r="G11" i="5"/>
  <c r="F11" i="5"/>
  <c r="E11" i="5"/>
  <c r="D11" i="5"/>
  <c r="C11" i="5"/>
  <c r="N10" i="5"/>
  <c r="M10" i="5"/>
  <c r="L10" i="5"/>
  <c r="K10" i="5"/>
  <c r="J10" i="5"/>
  <c r="I10" i="5"/>
  <c r="H10" i="5"/>
  <c r="G10" i="5"/>
  <c r="F10" i="5"/>
  <c r="E10" i="5"/>
  <c r="D10" i="5"/>
  <c r="C10" i="5"/>
  <c r="N7" i="5"/>
  <c r="N179" i="5" s="1"/>
  <c r="M7" i="5"/>
  <c r="M179" i="5" s="1"/>
  <c r="L7" i="5"/>
  <c r="L179" i="5" s="1"/>
  <c r="K7" i="5"/>
  <c r="J7" i="5"/>
  <c r="J179" i="5" s="1"/>
  <c r="I7" i="5"/>
  <c r="I179" i="5" s="1"/>
  <c r="H7" i="5"/>
  <c r="H179" i="5" s="1"/>
  <c r="G7" i="5"/>
  <c r="F7" i="5"/>
  <c r="F179" i="5" s="1"/>
  <c r="E7" i="5"/>
  <c r="E179" i="5" s="1"/>
  <c r="D7" i="5"/>
  <c r="D179" i="5" s="1"/>
  <c r="C7" i="5"/>
  <c r="N6" i="5"/>
  <c r="N178" i="5" s="1"/>
  <c r="M6" i="5"/>
  <c r="M178" i="5" s="1"/>
  <c r="L6" i="5"/>
  <c r="L178" i="5" s="1"/>
  <c r="K6" i="5"/>
  <c r="J6" i="5"/>
  <c r="J178" i="5" s="1"/>
  <c r="I6" i="5"/>
  <c r="I178" i="5" s="1"/>
  <c r="H6" i="5"/>
  <c r="H178" i="5" s="1"/>
  <c r="G6" i="5"/>
  <c r="F6" i="5"/>
  <c r="F178" i="5" s="1"/>
  <c r="E6" i="5"/>
  <c r="E178" i="5" s="1"/>
  <c r="D6" i="5"/>
  <c r="D178" i="5" s="1"/>
  <c r="C6" i="5"/>
  <c r="N5" i="5"/>
  <c r="N177" i="5" s="1"/>
  <c r="M5" i="5"/>
  <c r="M177" i="5" s="1"/>
  <c r="L5" i="5"/>
  <c r="L177" i="5" s="1"/>
  <c r="K5" i="5"/>
  <c r="J5" i="5"/>
  <c r="J177" i="5" s="1"/>
  <c r="I5" i="5"/>
  <c r="I177" i="5" s="1"/>
  <c r="H5" i="5"/>
  <c r="H177" i="5" s="1"/>
  <c r="G5" i="5"/>
  <c r="F5" i="5"/>
  <c r="F177" i="5" s="1"/>
  <c r="E5" i="5"/>
  <c r="E177" i="5" s="1"/>
  <c r="D5" i="5"/>
  <c r="D177" i="5" s="1"/>
  <c r="C5" i="5"/>
  <c r="N4" i="5"/>
  <c r="N176" i="5" s="1"/>
  <c r="M4" i="5"/>
  <c r="M176" i="5" s="1"/>
  <c r="L4" i="5"/>
  <c r="L176" i="5" s="1"/>
  <c r="K4" i="5"/>
  <c r="J4" i="5"/>
  <c r="J176" i="5" s="1"/>
  <c r="I4" i="5"/>
  <c r="I176" i="5" s="1"/>
  <c r="H4" i="5"/>
  <c r="H176" i="5" s="1"/>
  <c r="G4" i="5"/>
  <c r="F4" i="5"/>
  <c r="F176" i="5" s="1"/>
  <c r="E4" i="5"/>
  <c r="E176" i="5" s="1"/>
  <c r="D4" i="5"/>
  <c r="D176" i="5" s="1"/>
  <c r="C4" i="5"/>
  <c r="N209" i="2"/>
  <c r="N240" i="2" s="1"/>
  <c r="M209" i="2"/>
  <c r="M240" i="2" s="1"/>
  <c r="L209" i="2"/>
  <c r="L240" i="2" s="1"/>
  <c r="K209" i="2"/>
  <c r="J209" i="2"/>
  <c r="J240" i="2" s="1"/>
  <c r="I209" i="2"/>
  <c r="I240" i="2" s="1"/>
  <c r="H209" i="2"/>
  <c r="H240" i="2" s="1"/>
  <c r="G209" i="2"/>
  <c r="F209" i="2"/>
  <c r="F240" i="2" s="1"/>
  <c r="E209" i="2"/>
  <c r="E240" i="2" s="1"/>
  <c r="D240" i="2"/>
  <c r="C209" i="2"/>
  <c r="N208" i="2"/>
  <c r="N239" i="2" s="1"/>
  <c r="M208" i="2"/>
  <c r="M239" i="2" s="1"/>
  <c r="L208" i="2"/>
  <c r="L239" i="2" s="1"/>
  <c r="K208" i="2"/>
  <c r="J208" i="2"/>
  <c r="J239" i="2" s="1"/>
  <c r="I208" i="2"/>
  <c r="I239" i="2" s="1"/>
  <c r="H208" i="2"/>
  <c r="H239" i="2" s="1"/>
  <c r="G208" i="2"/>
  <c r="F208" i="2"/>
  <c r="F239" i="2" s="1"/>
  <c r="E208" i="2"/>
  <c r="E239" i="2" s="1"/>
  <c r="D239" i="2"/>
  <c r="C208" i="2"/>
  <c r="N207" i="2"/>
  <c r="N238" i="2" s="1"/>
  <c r="M207" i="2"/>
  <c r="M238" i="2" s="1"/>
  <c r="L207" i="2"/>
  <c r="L238" i="2" s="1"/>
  <c r="K207" i="2"/>
  <c r="J207" i="2"/>
  <c r="J238" i="2" s="1"/>
  <c r="I207" i="2"/>
  <c r="I238" i="2" s="1"/>
  <c r="H207" i="2"/>
  <c r="H238" i="2" s="1"/>
  <c r="G207" i="2"/>
  <c r="F207" i="2"/>
  <c r="F238" i="2" s="1"/>
  <c r="E207" i="2"/>
  <c r="E238" i="2" s="1"/>
  <c r="D238" i="2"/>
  <c r="C207" i="2"/>
  <c r="N80" i="2"/>
  <c r="M80" i="2"/>
  <c r="L80" i="2"/>
  <c r="K80" i="2"/>
  <c r="J80" i="2"/>
  <c r="I80" i="2"/>
  <c r="H80" i="2"/>
  <c r="G80" i="2"/>
  <c r="F80" i="2"/>
  <c r="E80" i="2"/>
  <c r="D80" i="2"/>
  <c r="C80" i="2"/>
  <c r="N79" i="2"/>
  <c r="M79" i="2"/>
  <c r="L79" i="2"/>
  <c r="K79" i="2"/>
  <c r="J79" i="2"/>
  <c r="I79" i="2"/>
  <c r="H79" i="2"/>
  <c r="G79" i="2"/>
  <c r="F79" i="2"/>
  <c r="E79" i="2"/>
  <c r="D79" i="2"/>
  <c r="C79" i="2"/>
  <c r="N78" i="2"/>
  <c r="M78" i="2"/>
  <c r="L78" i="2"/>
  <c r="K78" i="2"/>
  <c r="J78" i="2"/>
  <c r="I78" i="2"/>
  <c r="H78" i="2"/>
  <c r="G78" i="2"/>
  <c r="F78" i="2"/>
  <c r="E78" i="2"/>
  <c r="D78" i="2"/>
  <c r="C78" i="2"/>
  <c r="N13" i="2"/>
  <c r="M13" i="2"/>
  <c r="L13" i="2"/>
  <c r="K13" i="2"/>
  <c r="J13" i="2"/>
  <c r="I13" i="2"/>
  <c r="H13" i="2"/>
  <c r="G13" i="2"/>
  <c r="F13" i="2"/>
  <c r="E13" i="2"/>
  <c r="D13" i="2"/>
  <c r="C13" i="2"/>
  <c r="N12" i="2"/>
  <c r="M12" i="2"/>
  <c r="L12" i="2"/>
  <c r="K12" i="2"/>
  <c r="J12" i="2"/>
  <c r="I12" i="2"/>
  <c r="H12" i="2"/>
  <c r="G12" i="2"/>
  <c r="F12" i="2"/>
  <c r="E12" i="2"/>
  <c r="D12" i="2"/>
  <c r="C12" i="2"/>
  <c r="N11" i="2"/>
  <c r="M11" i="2"/>
  <c r="L11" i="2"/>
  <c r="K11" i="2"/>
  <c r="J11" i="2"/>
  <c r="I11" i="2"/>
  <c r="H11" i="2"/>
  <c r="G11" i="2"/>
  <c r="F11" i="2"/>
  <c r="E11" i="2"/>
  <c r="D11" i="2"/>
  <c r="C11" i="2"/>
  <c r="N10" i="2"/>
  <c r="M10" i="2"/>
  <c r="L10" i="2"/>
  <c r="K10" i="2"/>
  <c r="J10" i="2"/>
  <c r="I10" i="2"/>
  <c r="H10" i="2"/>
  <c r="G10" i="2"/>
  <c r="F10" i="2"/>
  <c r="E10" i="2"/>
  <c r="D10" i="2"/>
  <c r="C10" i="2"/>
  <c r="N7" i="2"/>
  <c r="N179" i="2" s="1"/>
  <c r="M7" i="2"/>
  <c r="M179" i="2" s="1"/>
  <c r="L7" i="2"/>
  <c r="L179" i="2" s="1"/>
  <c r="K7" i="2"/>
  <c r="J7" i="2"/>
  <c r="J179" i="2" s="1"/>
  <c r="I7" i="2"/>
  <c r="I179" i="2" s="1"/>
  <c r="H7" i="2"/>
  <c r="H179" i="2" s="1"/>
  <c r="G7" i="2"/>
  <c r="F7" i="2"/>
  <c r="F179" i="2" s="1"/>
  <c r="E7" i="2"/>
  <c r="E179" i="2" s="1"/>
  <c r="D7" i="2"/>
  <c r="D179" i="2" s="1"/>
  <c r="C7" i="2"/>
  <c r="N6" i="2"/>
  <c r="N178" i="2" s="1"/>
  <c r="M6" i="2"/>
  <c r="M178" i="2" s="1"/>
  <c r="L6" i="2"/>
  <c r="L178" i="2" s="1"/>
  <c r="K6" i="2"/>
  <c r="J6" i="2"/>
  <c r="J178" i="2" s="1"/>
  <c r="I6" i="2"/>
  <c r="I178" i="2" s="1"/>
  <c r="H6" i="2"/>
  <c r="H178" i="2" s="1"/>
  <c r="G6" i="2"/>
  <c r="F6" i="2"/>
  <c r="F178" i="2" s="1"/>
  <c r="E6" i="2"/>
  <c r="E178" i="2" s="1"/>
  <c r="D6" i="2"/>
  <c r="D178" i="2" s="1"/>
  <c r="C6" i="2"/>
  <c r="N5" i="2"/>
  <c r="N177" i="2" s="1"/>
  <c r="M5" i="2"/>
  <c r="M177" i="2" s="1"/>
  <c r="L5" i="2"/>
  <c r="L177" i="2" s="1"/>
  <c r="K5" i="2"/>
  <c r="J5" i="2"/>
  <c r="J177" i="2" s="1"/>
  <c r="I5" i="2"/>
  <c r="I177" i="2" s="1"/>
  <c r="H5" i="2"/>
  <c r="H177" i="2" s="1"/>
  <c r="G5" i="2"/>
  <c r="F5" i="2"/>
  <c r="F177" i="2" s="1"/>
  <c r="E5" i="2"/>
  <c r="E177" i="2" s="1"/>
  <c r="D5" i="2"/>
  <c r="D177" i="2" s="1"/>
  <c r="C5" i="2"/>
  <c r="N4" i="2"/>
  <c r="N176" i="2" s="1"/>
  <c r="M4" i="2"/>
  <c r="M176" i="2" s="1"/>
  <c r="L4" i="2"/>
  <c r="L176" i="2" s="1"/>
  <c r="K4" i="2"/>
  <c r="J4" i="2"/>
  <c r="J176" i="2" s="1"/>
  <c r="I4" i="2"/>
  <c r="I176" i="2" s="1"/>
  <c r="H4" i="2"/>
  <c r="H176" i="2" s="1"/>
  <c r="G4" i="2"/>
  <c r="F4" i="2"/>
  <c r="F176" i="2" s="1"/>
  <c r="E4" i="2"/>
  <c r="E176" i="2" s="1"/>
  <c r="D4" i="2"/>
  <c r="D176" i="2" s="1"/>
  <c r="C4" i="2"/>
  <c r="J252" i="5" l="1"/>
  <c r="J264" i="5"/>
  <c r="J253" i="5"/>
  <c r="J265" i="5"/>
  <c r="F254" i="5"/>
  <c r="F266" i="5"/>
  <c r="J254" i="5"/>
  <c r="J266" i="5"/>
  <c r="C252" i="5"/>
  <c r="C264" i="5"/>
  <c r="G264" i="5"/>
  <c r="G252" i="5"/>
  <c r="K264" i="5"/>
  <c r="K252" i="5"/>
  <c r="C253" i="5"/>
  <c r="C265" i="5"/>
  <c r="G253" i="5"/>
  <c r="G265" i="5"/>
  <c r="K265" i="5"/>
  <c r="K253" i="5"/>
  <c r="C254" i="5"/>
  <c r="C266" i="5"/>
  <c r="G266" i="5"/>
  <c r="G254" i="5"/>
  <c r="K266" i="5"/>
  <c r="K254" i="5"/>
  <c r="F252" i="5"/>
  <c r="F264" i="5"/>
  <c r="F253" i="5"/>
  <c r="F265" i="5"/>
  <c r="N265" i="5"/>
  <c r="N253" i="5"/>
  <c r="N266" i="5"/>
  <c r="N254" i="5"/>
  <c r="D252" i="5"/>
  <c r="D264" i="5"/>
  <c r="H252" i="5"/>
  <c r="H264" i="5"/>
  <c r="L264" i="5"/>
  <c r="L252" i="5"/>
  <c r="D253" i="5"/>
  <c r="D265" i="5"/>
  <c r="H253" i="5"/>
  <c r="H265" i="5"/>
  <c r="L265" i="5"/>
  <c r="L253" i="5"/>
  <c r="D254" i="5"/>
  <c r="D266" i="5"/>
  <c r="H254" i="5"/>
  <c r="H266" i="5"/>
  <c r="L266" i="5"/>
  <c r="L254" i="5"/>
  <c r="N264" i="5"/>
  <c r="N252" i="5"/>
  <c r="E252" i="5"/>
  <c r="E264" i="5"/>
  <c r="I264" i="5"/>
  <c r="I252" i="5"/>
  <c r="M264" i="5"/>
  <c r="M252" i="5"/>
  <c r="E253" i="5"/>
  <c r="E265" i="5"/>
  <c r="I265" i="5"/>
  <c r="I253" i="5"/>
  <c r="M253" i="5"/>
  <c r="M265" i="5"/>
  <c r="E254" i="5"/>
  <c r="E266" i="5"/>
  <c r="I266" i="5"/>
  <c r="I254" i="5"/>
  <c r="M266" i="5"/>
  <c r="M254" i="5"/>
  <c r="D264" i="2"/>
  <c r="D252" i="2"/>
  <c r="H264" i="2"/>
  <c r="H252" i="2"/>
  <c r="L264" i="2"/>
  <c r="L252" i="2"/>
  <c r="D253" i="2"/>
  <c r="D265" i="2"/>
  <c r="H253" i="2"/>
  <c r="H265" i="2"/>
  <c r="L253" i="2"/>
  <c r="L265" i="2"/>
  <c r="D254" i="2"/>
  <c r="D266" i="2"/>
  <c r="H254" i="2"/>
  <c r="H266" i="2"/>
  <c r="L254" i="2"/>
  <c r="L266" i="2"/>
  <c r="E252" i="2"/>
  <c r="E264" i="2"/>
  <c r="I252" i="2"/>
  <c r="I264" i="2"/>
  <c r="M252" i="2"/>
  <c r="M264" i="2"/>
  <c r="E253" i="2"/>
  <c r="E265" i="2"/>
  <c r="I253" i="2"/>
  <c r="I265" i="2"/>
  <c r="M253" i="2"/>
  <c r="M265" i="2"/>
  <c r="E254" i="2"/>
  <c r="E266" i="2"/>
  <c r="I254" i="2"/>
  <c r="I266" i="2"/>
  <c r="M254" i="2"/>
  <c r="M266" i="2"/>
  <c r="J252" i="2"/>
  <c r="J264" i="2"/>
  <c r="F253" i="2"/>
  <c r="F265" i="2"/>
  <c r="N253" i="2"/>
  <c r="N265" i="2"/>
  <c r="N266" i="2"/>
  <c r="N254" i="2"/>
  <c r="F252" i="2"/>
  <c r="F264" i="2"/>
  <c r="N252" i="2"/>
  <c r="N264" i="2"/>
  <c r="J253" i="2"/>
  <c r="J265" i="2"/>
  <c r="F266" i="2"/>
  <c r="F254" i="2"/>
  <c r="J266" i="2"/>
  <c r="J254" i="2"/>
  <c r="C252" i="2"/>
  <c r="C264" i="2"/>
  <c r="G252" i="2"/>
  <c r="G264" i="2"/>
  <c r="K252" i="2"/>
  <c r="K264" i="2"/>
  <c r="C265" i="2"/>
  <c r="C253" i="2"/>
  <c r="G265" i="2"/>
  <c r="G253" i="2"/>
  <c r="K265" i="2"/>
  <c r="K253" i="2"/>
  <c r="C254" i="2"/>
  <c r="C266" i="2"/>
  <c r="G254" i="2"/>
  <c r="G266" i="2"/>
  <c r="K254" i="2"/>
  <c r="K266" i="2"/>
  <c r="D186" i="2"/>
  <c r="H186" i="2"/>
  <c r="L186" i="2"/>
  <c r="D187" i="2"/>
  <c r="D232" i="2" s="1"/>
  <c r="H187" i="2"/>
  <c r="H232" i="2" s="1"/>
  <c r="L187" i="2"/>
  <c r="L232" i="2" s="1"/>
  <c r="D188" i="2"/>
  <c r="D233" i="2" s="1"/>
  <c r="H188" i="2"/>
  <c r="H233" i="2" s="1"/>
  <c r="L188" i="2"/>
  <c r="L233" i="2" s="1"/>
  <c r="D189" i="2"/>
  <c r="D234" i="2" s="1"/>
  <c r="H189" i="2"/>
  <c r="H234" i="2" s="1"/>
  <c r="L189" i="2"/>
  <c r="L234" i="2" s="1"/>
  <c r="E186" i="2"/>
  <c r="I186" i="2"/>
  <c r="M186" i="2"/>
  <c r="E187" i="2"/>
  <c r="E232" i="2" s="1"/>
  <c r="I187" i="2"/>
  <c r="I232" i="2" s="1"/>
  <c r="M187" i="2"/>
  <c r="M232" i="2" s="1"/>
  <c r="E188" i="2"/>
  <c r="E233" i="2" s="1"/>
  <c r="I188" i="2"/>
  <c r="I233" i="2" s="1"/>
  <c r="M188" i="2"/>
  <c r="M233" i="2" s="1"/>
  <c r="E189" i="2"/>
  <c r="E234" i="2" s="1"/>
  <c r="I189" i="2"/>
  <c r="I234" i="2" s="1"/>
  <c r="M189" i="2"/>
  <c r="M234" i="2" s="1"/>
  <c r="D186" i="5"/>
  <c r="H186" i="5"/>
  <c r="L186" i="5"/>
  <c r="D187" i="5"/>
  <c r="D232" i="5" s="1"/>
  <c r="H187" i="5"/>
  <c r="H232" i="5" s="1"/>
  <c r="L187" i="5"/>
  <c r="L232" i="5" s="1"/>
  <c r="D188" i="5"/>
  <c r="D233" i="5" s="1"/>
  <c r="H188" i="5"/>
  <c r="H233" i="5" s="1"/>
  <c r="L188" i="5"/>
  <c r="L233" i="5" s="1"/>
  <c r="D189" i="5"/>
  <c r="D234" i="5" s="1"/>
  <c r="H189" i="5"/>
  <c r="H234" i="5" s="1"/>
  <c r="L189" i="5"/>
  <c r="L234" i="5" s="1"/>
  <c r="F186" i="2"/>
  <c r="N186" i="2"/>
  <c r="J187" i="2"/>
  <c r="J232" i="2" s="1"/>
  <c r="F188" i="2"/>
  <c r="F233" i="2" s="1"/>
  <c r="N188" i="2"/>
  <c r="N233" i="2" s="1"/>
  <c r="F189" i="2"/>
  <c r="F234" i="2" s="1"/>
  <c r="N189" i="2"/>
  <c r="E186" i="5"/>
  <c r="I186" i="5"/>
  <c r="M186" i="5"/>
  <c r="E187" i="5"/>
  <c r="E232" i="5" s="1"/>
  <c r="I187" i="5"/>
  <c r="I232" i="5" s="1"/>
  <c r="M187" i="5"/>
  <c r="M232" i="5" s="1"/>
  <c r="E188" i="5"/>
  <c r="E214" i="5" s="1"/>
  <c r="I188" i="5"/>
  <c r="I233" i="5" s="1"/>
  <c r="M188" i="5"/>
  <c r="M233" i="5" s="1"/>
  <c r="E189" i="5"/>
  <c r="E215" i="5" s="1"/>
  <c r="I189" i="5"/>
  <c r="I234" i="5" s="1"/>
  <c r="M189" i="5"/>
  <c r="M234" i="5" s="1"/>
  <c r="J186" i="2"/>
  <c r="F187" i="2"/>
  <c r="F232" i="2" s="1"/>
  <c r="N187" i="2"/>
  <c r="N232" i="2" s="1"/>
  <c r="J188" i="2"/>
  <c r="J233" i="2" s="1"/>
  <c r="J189" i="2"/>
  <c r="J234" i="2" s="1"/>
  <c r="F186" i="5"/>
  <c r="J186" i="5"/>
  <c r="N186" i="5"/>
  <c r="F187" i="5"/>
  <c r="F232" i="5" s="1"/>
  <c r="J187" i="5"/>
  <c r="J232" i="5" s="1"/>
  <c r="N187" i="5"/>
  <c r="N232" i="5" s="1"/>
  <c r="F188" i="5"/>
  <c r="F233" i="5" s="1"/>
  <c r="J188" i="5"/>
  <c r="J233" i="5" s="1"/>
  <c r="N188" i="5"/>
  <c r="N233" i="5" s="1"/>
  <c r="F189" i="5"/>
  <c r="F234" i="5" s="1"/>
  <c r="J189" i="5"/>
  <c r="J234" i="5" s="1"/>
  <c r="N189" i="5"/>
  <c r="N234" i="5" s="1"/>
  <c r="Q207" i="2"/>
  <c r="Q208" i="2"/>
  <c r="T207" i="2"/>
  <c r="T238" i="2" s="1"/>
  <c r="R207" i="2"/>
  <c r="T208" i="2"/>
  <c r="T239" i="2" s="1"/>
  <c r="R208" i="2"/>
  <c r="T209" i="2"/>
  <c r="T240" i="2" s="1"/>
  <c r="Q209" i="2"/>
  <c r="R209" i="2"/>
  <c r="R209" i="5"/>
  <c r="R207" i="5"/>
  <c r="R208" i="5"/>
  <c r="C176" i="5"/>
  <c r="T4" i="5"/>
  <c r="G176" i="5"/>
  <c r="Q176" i="5" s="1"/>
  <c r="Q4" i="5"/>
  <c r="Q65" i="5" s="1"/>
  <c r="K176" i="5"/>
  <c r="R176" i="5" s="1"/>
  <c r="R4" i="5"/>
  <c r="R65" i="5" s="1"/>
  <c r="C177" i="5"/>
  <c r="T5" i="5"/>
  <c r="G177" i="5"/>
  <c r="Q177" i="5" s="1"/>
  <c r="Q5" i="5"/>
  <c r="Q66" i="5" s="1"/>
  <c r="K177" i="5"/>
  <c r="K226" i="5" s="1"/>
  <c r="R5" i="5"/>
  <c r="R66" i="5" s="1"/>
  <c r="C178" i="5"/>
  <c r="T6" i="5"/>
  <c r="G178" i="5"/>
  <c r="Q178" i="5" s="1"/>
  <c r="Q6" i="5"/>
  <c r="Q67" i="5" s="1"/>
  <c r="K178" i="5"/>
  <c r="R178" i="5" s="1"/>
  <c r="R6" i="5"/>
  <c r="R67" i="5" s="1"/>
  <c r="C179" i="5"/>
  <c r="T7" i="5"/>
  <c r="G179" i="5"/>
  <c r="Q179" i="5" s="1"/>
  <c r="Q7" i="5"/>
  <c r="Q68" i="5" s="1"/>
  <c r="K179" i="5"/>
  <c r="R179" i="5" s="1"/>
  <c r="R7" i="5"/>
  <c r="R68" i="5" s="1"/>
  <c r="C186" i="5"/>
  <c r="T10" i="5"/>
  <c r="G186" i="5"/>
  <c r="Q10" i="5"/>
  <c r="Q71" i="5" s="1"/>
  <c r="K186" i="5"/>
  <c r="R10" i="5"/>
  <c r="R71" i="5" s="1"/>
  <c r="C187" i="5"/>
  <c r="T11" i="5"/>
  <c r="G187" i="5"/>
  <c r="Q11" i="5"/>
  <c r="Q72" i="5" s="1"/>
  <c r="K187" i="5"/>
  <c r="R11" i="5"/>
  <c r="R72" i="5" s="1"/>
  <c r="C188" i="5"/>
  <c r="T12" i="5"/>
  <c r="G188" i="5"/>
  <c r="Q12" i="5"/>
  <c r="Q73" i="5" s="1"/>
  <c r="K188" i="5"/>
  <c r="R12" i="5"/>
  <c r="R73" i="5" s="1"/>
  <c r="C189" i="5"/>
  <c r="T13" i="5"/>
  <c r="G189" i="5"/>
  <c r="Q13" i="5"/>
  <c r="Q74" i="5" s="1"/>
  <c r="K189" i="5"/>
  <c r="R13" i="5"/>
  <c r="R74" i="5" s="1"/>
  <c r="C176" i="2"/>
  <c r="T4" i="2"/>
  <c r="G176" i="2"/>
  <c r="Q176" i="2" s="1"/>
  <c r="Q4" i="2"/>
  <c r="Q65" i="2" s="1"/>
  <c r="K176" i="2"/>
  <c r="R176" i="2" s="1"/>
  <c r="R4" i="2"/>
  <c r="R65" i="2" s="1"/>
  <c r="C177" i="2"/>
  <c r="T5" i="2"/>
  <c r="G177" i="2"/>
  <c r="Q177" i="2" s="1"/>
  <c r="Q5" i="2"/>
  <c r="Q66" i="2" s="1"/>
  <c r="K177" i="2"/>
  <c r="R177" i="2" s="1"/>
  <c r="R5" i="2"/>
  <c r="R66" i="2" s="1"/>
  <c r="C178" i="2"/>
  <c r="T6" i="2"/>
  <c r="G178" i="2"/>
  <c r="Q178" i="2" s="1"/>
  <c r="Q6" i="2"/>
  <c r="Q67" i="2" s="1"/>
  <c r="K178" i="2"/>
  <c r="R178" i="2" s="1"/>
  <c r="R6" i="2"/>
  <c r="R67" i="2" s="1"/>
  <c r="C179" i="2"/>
  <c r="T7" i="2"/>
  <c r="G179" i="2"/>
  <c r="Q179" i="2" s="1"/>
  <c r="Q7" i="2"/>
  <c r="Q68" i="2" s="1"/>
  <c r="K179" i="2"/>
  <c r="R179" i="2" s="1"/>
  <c r="R7" i="2"/>
  <c r="R68" i="2" s="1"/>
  <c r="C186" i="2"/>
  <c r="T10" i="2"/>
  <c r="G186" i="2"/>
  <c r="Q10" i="2"/>
  <c r="Q71" i="2" s="1"/>
  <c r="K186" i="2"/>
  <c r="R10" i="2"/>
  <c r="R71" i="2" s="1"/>
  <c r="C187" i="2"/>
  <c r="T11" i="2"/>
  <c r="G187" i="2"/>
  <c r="Q11" i="2"/>
  <c r="Q72" i="2" s="1"/>
  <c r="K187" i="2"/>
  <c r="R11" i="2"/>
  <c r="R72" i="2" s="1"/>
  <c r="C188" i="2"/>
  <c r="C233" i="2" s="1"/>
  <c r="T12" i="2"/>
  <c r="G188" i="2"/>
  <c r="Q12" i="2"/>
  <c r="Q73" i="2" s="1"/>
  <c r="K188" i="2"/>
  <c r="R12" i="2"/>
  <c r="R73" i="2" s="1"/>
  <c r="C189" i="2"/>
  <c r="C234" i="2" s="1"/>
  <c r="T13" i="2"/>
  <c r="G189" i="2"/>
  <c r="Q13" i="2"/>
  <c r="Q74" i="2" s="1"/>
  <c r="K189" i="2"/>
  <c r="R13" i="2"/>
  <c r="R74" i="2" s="1"/>
  <c r="Q207" i="5"/>
  <c r="T208" i="5"/>
  <c r="T239" i="5" s="1"/>
  <c r="Q208" i="5"/>
  <c r="T209" i="5"/>
  <c r="T240" i="5" s="1"/>
  <c r="Q209" i="5"/>
  <c r="T207" i="5"/>
  <c r="T238" i="5" s="1"/>
  <c r="G238" i="2"/>
  <c r="C239" i="2"/>
  <c r="K240" i="2"/>
  <c r="K239" i="5"/>
  <c r="K240" i="5"/>
  <c r="C238" i="2"/>
  <c r="K238" i="2"/>
  <c r="G239" i="2"/>
  <c r="G240" i="2"/>
  <c r="G239" i="5"/>
  <c r="C240" i="5"/>
  <c r="G240" i="5"/>
  <c r="J74" i="2"/>
  <c r="J72" i="5"/>
  <c r="C72" i="5"/>
  <c r="C73" i="5"/>
  <c r="C74" i="5"/>
  <c r="L73" i="5"/>
  <c r="M74" i="5"/>
  <c r="I68" i="2"/>
  <c r="I68" i="5"/>
  <c r="I228" i="5"/>
  <c r="M228" i="5"/>
  <c r="J23" i="2"/>
  <c r="J227" i="2"/>
  <c r="N24" i="2"/>
  <c r="J25" i="5"/>
  <c r="C68" i="5"/>
  <c r="K68" i="5"/>
  <c r="H24" i="2"/>
  <c r="L67" i="2"/>
  <c r="L227" i="2"/>
  <c r="L25" i="2"/>
  <c r="H66" i="5"/>
  <c r="D67" i="5"/>
  <c r="H24" i="5"/>
  <c r="L25" i="5"/>
  <c r="C73" i="2"/>
  <c r="G65" i="5"/>
  <c r="C77" i="5"/>
  <c r="G206" i="5"/>
  <c r="C74" i="2"/>
  <c r="L77" i="5"/>
  <c r="I67" i="5"/>
  <c r="M66" i="2"/>
  <c r="I129" i="5"/>
  <c r="H131" i="2"/>
  <c r="E129" i="2"/>
  <c r="I129" i="2"/>
  <c r="F129" i="2"/>
  <c r="F129" i="5"/>
  <c r="C25" i="2"/>
  <c r="K74" i="2"/>
  <c r="L129" i="2"/>
  <c r="L67" i="5"/>
  <c r="J74" i="5"/>
  <c r="H226" i="5"/>
  <c r="L74" i="2"/>
  <c r="L130" i="2"/>
  <c r="N73" i="2"/>
  <c r="D129" i="2"/>
  <c r="K72" i="5"/>
  <c r="I23" i="2"/>
  <c r="M72" i="2"/>
  <c r="I73" i="5"/>
  <c r="C68" i="2"/>
  <c r="D131" i="2"/>
  <c r="E25" i="5"/>
  <c r="M23" i="2"/>
  <c r="K25" i="2"/>
  <c r="E66" i="2"/>
  <c r="G67" i="2"/>
  <c r="G68" i="2"/>
  <c r="E72" i="2"/>
  <c r="F73" i="2"/>
  <c r="E74" i="2"/>
  <c r="H129" i="2"/>
  <c r="E130" i="2"/>
  <c r="F131" i="2"/>
  <c r="L22" i="5"/>
  <c r="I25" i="5"/>
  <c r="F72" i="5"/>
  <c r="D73" i="5"/>
  <c r="N74" i="5"/>
  <c r="M130" i="5"/>
  <c r="N67" i="2"/>
  <c r="E24" i="5"/>
  <c r="N25" i="5"/>
  <c r="G25" i="2"/>
  <c r="F67" i="2"/>
  <c r="K68" i="2"/>
  <c r="N72" i="5"/>
  <c r="I25" i="2"/>
  <c r="E23" i="2"/>
  <c r="I66" i="2"/>
  <c r="J67" i="2"/>
  <c r="H68" i="2"/>
  <c r="I72" i="2"/>
  <c r="J73" i="2"/>
  <c r="G74" i="2"/>
  <c r="J129" i="2"/>
  <c r="H130" i="2"/>
  <c r="D130" i="2"/>
  <c r="K23" i="5"/>
  <c r="M25" i="5"/>
  <c r="H67" i="5"/>
  <c r="J68" i="5"/>
  <c r="G72" i="5"/>
  <c r="H73" i="5"/>
  <c r="I74" i="5"/>
  <c r="G131" i="5"/>
  <c r="K238" i="5"/>
  <c r="M129" i="5"/>
  <c r="E131" i="5"/>
  <c r="M131" i="5"/>
  <c r="E129" i="5"/>
  <c r="I130" i="5"/>
  <c r="I131" i="5"/>
  <c r="G238" i="5"/>
  <c r="I22" i="5"/>
  <c r="M22" i="5"/>
  <c r="C22" i="5"/>
  <c r="I227" i="5"/>
  <c r="F73" i="5"/>
  <c r="F24" i="5"/>
  <c r="N73" i="5"/>
  <c r="F23" i="5"/>
  <c r="F66" i="5"/>
  <c r="J23" i="5"/>
  <c r="J66" i="5"/>
  <c r="N66" i="5"/>
  <c r="N23" i="5"/>
  <c r="D72" i="5"/>
  <c r="D23" i="5"/>
  <c r="H72" i="5"/>
  <c r="L72" i="5"/>
  <c r="L23" i="5"/>
  <c r="E22" i="5"/>
  <c r="K22" i="5"/>
  <c r="J73" i="5"/>
  <c r="J24" i="5"/>
  <c r="C67" i="5"/>
  <c r="C24" i="5"/>
  <c r="G67" i="5"/>
  <c r="G24" i="5"/>
  <c r="K67" i="5"/>
  <c r="K24" i="5"/>
  <c r="D74" i="5"/>
  <c r="D25" i="5"/>
  <c r="H74" i="5"/>
  <c r="L74" i="5"/>
  <c r="G22" i="5"/>
  <c r="N129" i="5"/>
  <c r="N131" i="5"/>
  <c r="K131" i="5"/>
  <c r="F22" i="5"/>
  <c r="J22" i="5"/>
  <c r="N22" i="5"/>
  <c r="N228" i="5"/>
  <c r="E72" i="5"/>
  <c r="I72" i="5"/>
  <c r="M72" i="5"/>
  <c r="H22" i="5"/>
  <c r="G23" i="5"/>
  <c r="G66" i="5"/>
  <c r="F131" i="5"/>
  <c r="D66" i="5"/>
  <c r="L66" i="5"/>
  <c r="E227" i="5"/>
  <c r="M227" i="5"/>
  <c r="C25" i="5"/>
  <c r="G25" i="5"/>
  <c r="K25" i="5"/>
  <c r="D22" i="5"/>
  <c r="C23" i="5"/>
  <c r="H23" i="5"/>
  <c r="M24" i="5"/>
  <c r="F25" i="5"/>
  <c r="F68" i="5"/>
  <c r="N68" i="5"/>
  <c r="F74" i="5"/>
  <c r="K74" i="5"/>
  <c r="H129" i="5"/>
  <c r="N130" i="5"/>
  <c r="J129" i="5"/>
  <c r="J131" i="5"/>
  <c r="J130" i="5"/>
  <c r="D24" i="5"/>
  <c r="F228" i="5"/>
  <c r="G73" i="5"/>
  <c r="K73" i="5"/>
  <c r="E66" i="5"/>
  <c r="E23" i="5"/>
  <c r="I66" i="5"/>
  <c r="I23" i="5"/>
  <c r="M66" i="5"/>
  <c r="M23" i="5"/>
  <c r="F67" i="5"/>
  <c r="J67" i="5"/>
  <c r="N67" i="5"/>
  <c r="D68" i="5"/>
  <c r="H68" i="5"/>
  <c r="L68" i="5"/>
  <c r="I24" i="5"/>
  <c r="N24" i="5"/>
  <c r="H25" i="5"/>
  <c r="C206" i="5"/>
  <c r="G77" i="5"/>
  <c r="C66" i="5"/>
  <c r="K66" i="5"/>
  <c r="E67" i="5"/>
  <c r="M67" i="5"/>
  <c r="G68" i="5"/>
  <c r="I71" i="5"/>
  <c r="E73" i="5"/>
  <c r="M73" i="5"/>
  <c r="G74" i="5"/>
  <c r="F130" i="5"/>
  <c r="E130" i="5"/>
  <c r="L227" i="5"/>
  <c r="E228" i="5"/>
  <c r="L24" i="5"/>
  <c r="C239" i="5"/>
  <c r="E68" i="5"/>
  <c r="M68" i="5"/>
  <c r="E74" i="5"/>
  <c r="D130" i="5"/>
  <c r="D131" i="5"/>
  <c r="H130" i="5"/>
  <c r="H131" i="5"/>
  <c r="L130" i="5"/>
  <c r="L131" i="5"/>
  <c r="D129" i="5"/>
  <c r="L129" i="5"/>
  <c r="C238" i="5"/>
  <c r="L131" i="2"/>
  <c r="F130" i="2"/>
  <c r="J130" i="2"/>
  <c r="N130" i="2"/>
  <c r="M129" i="2"/>
  <c r="G77" i="2"/>
  <c r="D226" i="2"/>
  <c r="H66" i="2"/>
  <c r="L23" i="2"/>
  <c r="L66" i="2"/>
  <c r="K72" i="2"/>
  <c r="M73" i="2"/>
  <c r="F74" i="2"/>
  <c r="N74" i="2"/>
  <c r="F22" i="2"/>
  <c r="N22" i="2"/>
  <c r="D23" i="2"/>
  <c r="F25" i="2"/>
  <c r="D66" i="2"/>
  <c r="G72" i="2"/>
  <c r="I73" i="2"/>
  <c r="G22" i="2"/>
  <c r="M226" i="2"/>
  <c r="C67" i="2"/>
  <c r="K24" i="2"/>
  <c r="D25" i="2"/>
  <c r="H228" i="2"/>
  <c r="L68" i="2"/>
  <c r="D72" i="2"/>
  <c r="I22" i="2"/>
  <c r="C24" i="2"/>
  <c r="I24" i="2"/>
  <c r="N25" i="2"/>
  <c r="H72" i="2"/>
  <c r="F66" i="2"/>
  <c r="F23" i="2"/>
  <c r="J66" i="2"/>
  <c r="N66" i="2"/>
  <c r="D67" i="2"/>
  <c r="H67" i="2"/>
  <c r="E25" i="2"/>
  <c r="E68" i="2"/>
  <c r="M25" i="2"/>
  <c r="G73" i="2"/>
  <c r="K73" i="2"/>
  <c r="D74" i="2"/>
  <c r="H74" i="2"/>
  <c r="C22" i="2"/>
  <c r="J22" i="2"/>
  <c r="H23" i="2"/>
  <c r="N23" i="2"/>
  <c r="D24" i="2"/>
  <c r="L24" i="2"/>
  <c r="H25" i="2"/>
  <c r="K67" i="2"/>
  <c r="D68" i="2"/>
  <c r="C72" i="2"/>
  <c r="E73" i="2"/>
  <c r="M131" i="2"/>
  <c r="M22" i="2"/>
  <c r="C23" i="2"/>
  <c r="C66" i="2"/>
  <c r="G23" i="2"/>
  <c r="G66" i="2"/>
  <c r="K23" i="2"/>
  <c r="E67" i="2"/>
  <c r="E24" i="2"/>
  <c r="I67" i="2"/>
  <c r="M227" i="2"/>
  <c r="F68" i="2"/>
  <c r="J68" i="2"/>
  <c r="J25" i="2"/>
  <c r="N68" i="2"/>
  <c r="F72" i="2"/>
  <c r="J72" i="2"/>
  <c r="N72" i="2"/>
  <c r="D73" i="2"/>
  <c r="H73" i="2"/>
  <c r="L73" i="2"/>
  <c r="I74" i="2"/>
  <c r="M74" i="2"/>
  <c r="E22" i="2"/>
  <c r="K22" i="2"/>
  <c r="G24" i="2"/>
  <c r="M24" i="2"/>
  <c r="K66" i="2"/>
  <c r="M67" i="2"/>
  <c r="M68" i="2"/>
  <c r="L72" i="2"/>
  <c r="M130" i="2"/>
  <c r="I131" i="2"/>
  <c r="N131" i="2"/>
  <c r="N129" i="2"/>
  <c r="I130" i="2"/>
  <c r="E131" i="2"/>
  <c r="J131" i="2"/>
  <c r="E226" i="2"/>
  <c r="I226" i="2"/>
  <c r="F227" i="2"/>
  <c r="D22" i="2"/>
  <c r="H22" i="2"/>
  <c r="L22" i="2"/>
  <c r="F24" i="2"/>
  <c r="J24" i="2"/>
  <c r="L77" i="2"/>
  <c r="K239" i="2"/>
  <c r="C240" i="2"/>
  <c r="R189" i="5" l="1"/>
  <c r="R189" i="2"/>
  <c r="R266" i="2"/>
  <c r="Q187" i="2"/>
  <c r="Q265" i="2"/>
  <c r="M277" i="5"/>
  <c r="E278" i="5"/>
  <c r="E276" i="5"/>
  <c r="D278" i="5"/>
  <c r="H277" i="5"/>
  <c r="D276" i="5"/>
  <c r="F277" i="5"/>
  <c r="F278" i="5"/>
  <c r="J276" i="5"/>
  <c r="E277" i="5"/>
  <c r="H278" i="5"/>
  <c r="D277" i="5"/>
  <c r="H276" i="5"/>
  <c r="F276" i="5"/>
  <c r="J278" i="5"/>
  <c r="J277" i="5"/>
  <c r="R265" i="5"/>
  <c r="R266" i="5"/>
  <c r="R264" i="5"/>
  <c r="T252" i="5"/>
  <c r="C276" i="5"/>
  <c r="R264" i="2"/>
  <c r="H276" i="2"/>
  <c r="M278" i="5"/>
  <c r="I277" i="5"/>
  <c r="M276" i="5"/>
  <c r="N276" i="5"/>
  <c r="L278" i="5"/>
  <c r="L276" i="5"/>
  <c r="N278" i="5"/>
  <c r="Q254" i="5"/>
  <c r="G278" i="5"/>
  <c r="R253" i="5"/>
  <c r="K277" i="5"/>
  <c r="T265" i="5"/>
  <c r="Q252" i="5"/>
  <c r="G276" i="5"/>
  <c r="T254" i="5"/>
  <c r="C278" i="5"/>
  <c r="Q253" i="5"/>
  <c r="G277" i="5"/>
  <c r="Q266" i="5"/>
  <c r="T253" i="5"/>
  <c r="C277" i="5"/>
  <c r="Q264" i="5"/>
  <c r="I278" i="5"/>
  <c r="I276" i="5"/>
  <c r="L277" i="5"/>
  <c r="N277" i="5"/>
  <c r="R254" i="5"/>
  <c r="K278" i="5"/>
  <c r="T266" i="5"/>
  <c r="Q265" i="5"/>
  <c r="R252" i="5"/>
  <c r="K276" i="5"/>
  <c r="T264" i="5"/>
  <c r="N276" i="2"/>
  <c r="F277" i="2"/>
  <c r="M278" i="2"/>
  <c r="E278" i="2"/>
  <c r="I277" i="2"/>
  <c r="H278" i="2"/>
  <c r="L277" i="2"/>
  <c r="Q266" i="2"/>
  <c r="Q264" i="2"/>
  <c r="J278" i="2"/>
  <c r="L276" i="2"/>
  <c r="D276" i="2"/>
  <c r="R265" i="2"/>
  <c r="M276" i="2"/>
  <c r="T266" i="2"/>
  <c r="Q253" i="2"/>
  <c r="G277" i="2"/>
  <c r="T264" i="2"/>
  <c r="F278" i="2"/>
  <c r="N278" i="2"/>
  <c r="R254" i="2"/>
  <c r="K278" i="2"/>
  <c r="T254" i="2"/>
  <c r="C278" i="2"/>
  <c r="R252" i="2"/>
  <c r="K276" i="2"/>
  <c r="T252" i="2"/>
  <c r="C276" i="2"/>
  <c r="E276" i="2"/>
  <c r="D277" i="2"/>
  <c r="R253" i="2"/>
  <c r="K277" i="2"/>
  <c r="T253" i="2"/>
  <c r="C277" i="2"/>
  <c r="Q254" i="2"/>
  <c r="G278" i="2"/>
  <c r="T265" i="2"/>
  <c r="Q252" i="2"/>
  <c r="G276" i="2"/>
  <c r="J277" i="2"/>
  <c r="F276" i="2"/>
  <c r="N277" i="2"/>
  <c r="J276" i="2"/>
  <c r="I278" i="2"/>
  <c r="M277" i="2"/>
  <c r="E277" i="2"/>
  <c r="I276" i="2"/>
  <c r="L278" i="2"/>
  <c r="D278" i="2"/>
  <c r="H277" i="2"/>
  <c r="M213" i="2"/>
  <c r="M244" i="2" s="1"/>
  <c r="R187" i="2"/>
  <c r="Q186" i="2"/>
  <c r="R187" i="5"/>
  <c r="E234" i="5"/>
  <c r="R188" i="2"/>
  <c r="R188" i="5"/>
  <c r="Q189" i="2"/>
  <c r="R186" i="2"/>
  <c r="R186" i="5"/>
  <c r="Q188" i="2"/>
  <c r="Q189" i="5"/>
  <c r="Q187" i="5"/>
  <c r="Q188" i="5"/>
  <c r="Q186" i="5"/>
  <c r="T25" i="5"/>
  <c r="A208" i="2"/>
  <c r="A206" i="2"/>
  <c r="A206" i="5"/>
  <c r="A209" i="2"/>
  <c r="A207" i="2"/>
  <c r="G226" i="5"/>
  <c r="A209" i="5"/>
  <c r="A207" i="5"/>
  <c r="A208" i="5"/>
  <c r="K213" i="5"/>
  <c r="K244" i="5" s="1"/>
  <c r="R177" i="5"/>
  <c r="T177" i="5"/>
  <c r="T226" i="5" s="1"/>
  <c r="G213" i="5"/>
  <c r="G244" i="5" s="1"/>
  <c r="G234" i="2"/>
  <c r="K233" i="5"/>
  <c r="C215" i="2"/>
  <c r="C246" i="2" s="1"/>
  <c r="T189" i="5"/>
  <c r="T234" i="5" s="1"/>
  <c r="T187" i="5"/>
  <c r="T232" i="5" s="1"/>
  <c r="T179" i="5"/>
  <c r="T228" i="5" s="1"/>
  <c r="G228" i="2"/>
  <c r="C228" i="2"/>
  <c r="G214" i="2"/>
  <c r="G245" i="2" s="1"/>
  <c r="G232" i="2"/>
  <c r="G234" i="5"/>
  <c r="T24" i="2"/>
  <c r="G227" i="2"/>
  <c r="Q22" i="2"/>
  <c r="C226" i="5"/>
  <c r="Q25" i="2"/>
  <c r="T25" i="2"/>
  <c r="O30" i="2" s="1"/>
  <c r="T178" i="5"/>
  <c r="T227" i="5" s="1"/>
  <c r="R25" i="2"/>
  <c r="T189" i="2"/>
  <c r="T234" i="2" s="1"/>
  <c r="T179" i="2"/>
  <c r="T228" i="2" s="1"/>
  <c r="K215" i="2"/>
  <c r="K246" i="2" s="1"/>
  <c r="Q24" i="2"/>
  <c r="Q85" i="2" s="1"/>
  <c r="T22" i="2"/>
  <c r="O27" i="2" s="1"/>
  <c r="K234" i="5"/>
  <c r="K232" i="5"/>
  <c r="R23" i="2"/>
  <c r="T23" i="2"/>
  <c r="O28" i="2" s="1"/>
  <c r="T187" i="2"/>
  <c r="T232" i="2" s="1"/>
  <c r="T177" i="2"/>
  <c r="T226" i="2" s="1"/>
  <c r="K228" i="2"/>
  <c r="R22" i="2"/>
  <c r="Q23" i="2"/>
  <c r="K234" i="2"/>
  <c r="R24" i="2"/>
  <c r="T188" i="2"/>
  <c r="T233" i="2" s="1"/>
  <c r="T186" i="2"/>
  <c r="T178" i="2"/>
  <c r="T227" i="2" s="1"/>
  <c r="T176" i="2"/>
  <c r="T188" i="5"/>
  <c r="T233" i="5" s="1"/>
  <c r="T186" i="5"/>
  <c r="T176" i="5"/>
  <c r="R25" i="5"/>
  <c r="R86" i="5" s="1"/>
  <c r="Q24" i="5"/>
  <c r="Q85" i="5" s="1"/>
  <c r="R22" i="5"/>
  <c r="Q25" i="5"/>
  <c r="R23" i="5"/>
  <c r="T23" i="5"/>
  <c r="Q23" i="5"/>
  <c r="Q84" i="5" s="1"/>
  <c r="Q22" i="5"/>
  <c r="R24" i="5"/>
  <c r="T24" i="5"/>
  <c r="T22" i="5"/>
  <c r="O27" i="5" s="1"/>
  <c r="Q131" i="5"/>
  <c r="R131" i="5"/>
  <c r="L86" i="2"/>
  <c r="H85" i="2"/>
  <c r="A22" i="2"/>
  <c r="A25" i="2"/>
  <c r="A23" i="2"/>
  <c r="L86" i="5"/>
  <c r="A22" i="5"/>
  <c r="G215" i="2"/>
  <c r="E213" i="2"/>
  <c r="E244" i="2" s="1"/>
  <c r="N85" i="2"/>
  <c r="A24" i="2"/>
  <c r="N215" i="5"/>
  <c r="N246" i="5" s="1"/>
  <c r="A25" i="5"/>
  <c r="A23" i="5"/>
  <c r="A24" i="5"/>
  <c r="J86" i="5"/>
  <c r="H85" i="5"/>
  <c r="E85" i="5"/>
  <c r="I86" i="2"/>
  <c r="J84" i="2"/>
  <c r="J214" i="2"/>
  <c r="J245" i="2" s="1"/>
  <c r="F214" i="2"/>
  <c r="F245" i="2" s="1"/>
  <c r="F215" i="5"/>
  <c r="F246" i="5" s="1"/>
  <c r="I213" i="2"/>
  <c r="I244" i="2" s="1"/>
  <c r="M214" i="5"/>
  <c r="M245" i="5" s="1"/>
  <c r="J215" i="5"/>
  <c r="J246" i="5" s="1"/>
  <c r="E233" i="5"/>
  <c r="G232" i="5"/>
  <c r="I214" i="5"/>
  <c r="I245" i="5" s="1"/>
  <c r="N227" i="2"/>
  <c r="F77" i="5"/>
  <c r="I65" i="2"/>
  <c r="H206" i="2"/>
  <c r="H237" i="2" s="1"/>
  <c r="M86" i="5"/>
  <c r="D77" i="2"/>
  <c r="M231" i="2"/>
  <c r="D237" i="2"/>
  <c r="F86" i="2"/>
  <c r="H225" i="5"/>
  <c r="H65" i="5"/>
  <c r="N206" i="5"/>
  <c r="N237" i="5" s="1"/>
  <c r="N77" i="5"/>
  <c r="H206" i="5"/>
  <c r="H237" i="5" s="1"/>
  <c r="I84" i="5"/>
  <c r="I86" i="5"/>
  <c r="J206" i="5"/>
  <c r="J237" i="5" s="1"/>
  <c r="L214" i="5"/>
  <c r="L245" i="5" s="1"/>
  <c r="K65" i="5"/>
  <c r="H231" i="5"/>
  <c r="E86" i="5"/>
  <c r="K86" i="5"/>
  <c r="H71" i="5"/>
  <c r="J84" i="5"/>
  <c r="D206" i="5"/>
  <c r="D237" i="5" s="1"/>
  <c r="N85" i="5"/>
  <c r="M85" i="5"/>
  <c r="K206" i="5"/>
  <c r="M84" i="5"/>
  <c r="I77" i="5"/>
  <c r="D86" i="5"/>
  <c r="F85" i="5"/>
  <c r="K77" i="5"/>
  <c r="E84" i="5"/>
  <c r="I206" i="5"/>
  <c r="I237" i="5" s="1"/>
  <c r="N86" i="5"/>
  <c r="K84" i="5"/>
  <c r="L85" i="2"/>
  <c r="C84" i="2"/>
  <c r="D85" i="2"/>
  <c r="K85" i="2"/>
  <c r="M86" i="2"/>
  <c r="C86" i="2"/>
  <c r="M84" i="2"/>
  <c r="F206" i="2"/>
  <c r="F237" i="2" s="1"/>
  <c r="E84" i="2"/>
  <c r="D84" i="2"/>
  <c r="I85" i="2"/>
  <c r="G86" i="2"/>
  <c r="I84" i="2"/>
  <c r="I231" i="2"/>
  <c r="K206" i="2"/>
  <c r="E86" i="2"/>
  <c r="J231" i="2"/>
  <c r="K86" i="2"/>
  <c r="G225" i="5"/>
  <c r="L206" i="5"/>
  <c r="L237" i="5" s="1"/>
  <c r="J71" i="2"/>
  <c r="J52" i="5"/>
  <c r="J128" i="5"/>
  <c r="M52" i="5"/>
  <c r="E52" i="5"/>
  <c r="G52" i="2"/>
  <c r="L52" i="5"/>
  <c r="D52" i="5"/>
  <c r="K77" i="2"/>
  <c r="C71" i="2"/>
  <c r="C206" i="2"/>
  <c r="G206" i="2"/>
  <c r="J77" i="5"/>
  <c r="D225" i="5"/>
  <c r="L52" i="2"/>
  <c r="D52" i="2"/>
  <c r="I52" i="2"/>
  <c r="I128" i="2"/>
  <c r="J52" i="2"/>
  <c r="K52" i="5"/>
  <c r="K128" i="5"/>
  <c r="N52" i="5"/>
  <c r="F52" i="5"/>
  <c r="F128" i="5"/>
  <c r="I52" i="5"/>
  <c r="I128" i="5"/>
  <c r="K52" i="2"/>
  <c r="H52" i="5"/>
  <c r="H128" i="5"/>
  <c r="M77" i="2"/>
  <c r="H77" i="2"/>
  <c r="E206" i="2"/>
  <c r="E237" i="2" s="1"/>
  <c r="M206" i="2"/>
  <c r="M237" i="2" s="1"/>
  <c r="C77" i="2"/>
  <c r="F77" i="2"/>
  <c r="F206" i="5"/>
  <c r="F237" i="5" s="1"/>
  <c r="L225" i="5"/>
  <c r="M215" i="5"/>
  <c r="M246" i="5" s="1"/>
  <c r="L65" i="5"/>
  <c r="I231" i="5"/>
  <c r="E71" i="5"/>
  <c r="D65" i="5"/>
  <c r="H52" i="2"/>
  <c r="M52" i="2"/>
  <c r="N52" i="2"/>
  <c r="F52" i="2"/>
  <c r="F128" i="2"/>
  <c r="G52" i="5"/>
  <c r="E52" i="2"/>
  <c r="J228" i="5"/>
  <c r="I215" i="5"/>
  <c r="I246" i="5" s="1"/>
  <c r="M214" i="2"/>
  <c r="M245" i="2" s="1"/>
  <c r="N214" i="2"/>
  <c r="N231" i="5"/>
  <c r="L206" i="2"/>
  <c r="L237" i="2" s="1"/>
  <c r="E231" i="2"/>
  <c r="J225" i="2"/>
  <c r="F231" i="2"/>
  <c r="M71" i="2"/>
  <c r="F231" i="5"/>
  <c r="M231" i="5"/>
  <c r="G231" i="5"/>
  <c r="G225" i="2"/>
  <c r="N231" i="2"/>
  <c r="H77" i="5"/>
  <c r="D77" i="5"/>
  <c r="E231" i="5"/>
  <c r="F225" i="5"/>
  <c r="I77" i="2"/>
  <c r="H215" i="2"/>
  <c r="H246" i="2" s="1"/>
  <c r="E77" i="2"/>
  <c r="I206" i="2"/>
  <c r="I237" i="2" s="1"/>
  <c r="H213" i="5"/>
  <c r="H244" i="5" s="1"/>
  <c r="C130" i="5"/>
  <c r="L85" i="5"/>
  <c r="H86" i="5"/>
  <c r="I226" i="5"/>
  <c r="I213" i="5"/>
  <c r="G233" i="5"/>
  <c r="D85" i="5"/>
  <c r="J225" i="5"/>
  <c r="K130" i="5"/>
  <c r="R130" i="5" s="1"/>
  <c r="C234" i="5"/>
  <c r="N225" i="5"/>
  <c r="K228" i="5"/>
  <c r="K215" i="5"/>
  <c r="E245" i="5"/>
  <c r="L226" i="5"/>
  <c r="L213" i="5"/>
  <c r="L71" i="5"/>
  <c r="K71" i="5"/>
  <c r="E225" i="5"/>
  <c r="F84" i="5"/>
  <c r="K129" i="5"/>
  <c r="R129" i="5" s="1"/>
  <c r="C129" i="5"/>
  <c r="N71" i="5"/>
  <c r="L84" i="5"/>
  <c r="G237" i="5"/>
  <c r="H228" i="5"/>
  <c r="H215" i="5"/>
  <c r="N227" i="5"/>
  <c r="N214" i="5"/>
  <c r="F214" i="5"/>
  <c r="F227" i="5"/>
  <c r="M226" i="5"/>
  <c r="M213" i="5"/>
  <c r="D227" i="5"/>
  <c r="D214" i="5"/>
  <c r="K85" i="5"/>
  <c r="C84" i="5"/>
  <c r="C228" i="5"/>
  <c r="C215" i="5"/>
  <c r="K225" i="5"/>
  <c r="M77" i="5"/>
  <c r="M206" i="5"/>
  <c r="M237" i="5" s="1"/>
  <c r="N84" i="5"/>
  <c r="F226" i="5"/>
  <c r="F213" i="5"/>
  <c r="G71" i="5"/>
  <c r="M65" i="5"/>
  <c r="I65" i="5"/>
  <c r="C232" i="5"/>
  <c r="C131" i="5"/>
  <c r="T131" i="5" s="1"/>
  <c r="O136" i="5" s="1"/>
  <c r="G130" i="5"/>
  <c r="Q130" i="5" s="1"/>
  <c r="J71" i="5"/>
  <c r="J231" i="5"/>
  <c r="H84" i="5"/>
  <c r="I85" i="5"/>
  <c r="C213" i="5"/>
  <c r="G85" i="5"/>
  <c r="G228" i="5"/>
  <c r="G215" i="5"/>
  <c r="D226" i="5"/>
  <c r="D213" i="5"/>
  <c r="C233" i="5"/>
  <c r="J85" i="5"/>
  <c r="E206" i="5"/>
  <c r="E237" i="5" s="1"/>
  <c r="E77" i="5"/>
  <c r="G84" i="5"/>
  <c r="L231" i="5"/>
  <c r="F86" i="5"/>
  <c r="G227" i="5"/>
  <c r="G214" i="5"/>
  <c r="C227" i="5"/>
  <c r="C214" i="5"/>
  <c r="C86" i="5"/>
  <c r="J226" i="5"/>
  <c r="J213" i="5"/>
  <c r="C71" i="5"/>
  <c r="H147" i="20"/>
  <c r="G129" i="5"/>
  <c r="Q129" i="5" s="1"/>
  <c r="F71" i="5"/>
  <c r="E246" i="5"/>
  <c r="D84" i="5"/>
  <c r="C237" i="5"/>
  <c r="D71" i="5"/>
  <c r="L228" i="5"/>
  <c r="L215" i="5"/>
  <c r="D228" i="5"/>
  <c r="D215" i="5"/>
  <c r="J227" i="5"/>
  <c r="J214" i="5"/>
  <c r="E226" i="5"/>
  <c r="E213" i="5"/>
  <c r="C85" i="5"/>
  <c r="M71" i="5"/>
  <c r="H227" i="5"/>
  <c r="H214" i="5"/>
  <c r="D231" i="5"/>
  <c r="N65" i="5"/>
  <c r="J65" i="5"/>
  <c r="F65" i="5"/>
  <c r="K227" i="5"/>
  <c r="K214" i="5"/>
  <c r="E65" i="5"/>
  <c r="N226" i="5"/>
  <c r="N213" i="5"/>
  <c r="G86" i="5"/>
  <c r="M225" i="5"/>
  <c r="I225" i="5"/>
  <c r="L214" i="2"/>
  <c r="L245" i="2" s="1"/>
  <c r="D213" i="2"/>
  <c r="D244" i="2" s="1"/>
  <c r="D71" i="2"/>
  <c r="D231" i="2"/>
  <c r="G85" i="2"/>
  <c r="J228" i="2"/>
  <c r="J215" i="2"/>
  <c r="K226" i="2"/>
  <c r="K213" i="2"/>
  <c r="I225" i="2"/>
  <c r="N206" i="2"/>
  <c r="N237" i="2" s="1"/>
  <c r="N77" i="2"/>
  <c r="C85" i="2"/>
  <c r="C232" i="2"/>
  <c r="K131" i="2"/>
  <c r="R131" i="2" s="1"/>
  <c r="C130" i="2"/>
  <c r="N234" i="2"/>
  <c r="K232" i="2"/>
  <c r="L65" i="2"/>
  <c r="F84" i="2"/>
  <c r="J85" i="2"/>
  <c r="N228" i="2"/>
  <c r="N215" i="2"/>
  <c r="K84" i="2"/>
  <c r="M65" i="2"/>
  <c r="E85" i="2"/>
  <c r="G233" i="2"/>
  <c r="C231" i="2"/>
  <c r="H227" i="2"/>
  <c r="H214" i="2"/>
  <c r="N213" i="2"/>
  <c r="N226" i="2"/>
  <c r="J206" i="2"/>
  <c r="J237" i="2" s="1"/>
  <c r="J77" i="2"/>
  <c r="K225" i="2"/>
  <c r="G130" i="2"/>
  <c r="Q130" i="2" s="1"/>
  <c r="G129" i="2"/>
  <c r="Q129" i="2" s="1"/>
  <c r="C129" i="2"/>
  <c r="L226" i="2"/>
  <c r="L213" i="2"/>
  <c r="G147" i="20"/>
  <c r="L71" i="2"/>
  <c r="L231" i="2"/>
  <c r="H65" i="2"/>
  <c r="I228" i="2"/>
  <c r="I215" i="2"/>
  <c r="L84" i="2"/>
  <c r="H86" i="2"/>
  <c r="E65" i="2"/>
  <c r="F228" i="2"/>
  <c r="F215" i="2"/>
  <c r="E227" i="2"/>
  <c r="E214" i="2"/>
  <c r="K130" i="2"/>
  <c r="R130" i="2" s="1"/>
  <c r="E71" i="2"/>
  <c r="G71" i="2"/>
  <c r="M215" i="2"/>
  <c r="M228" i="2"/>
  <c r="E215" i="2"/>
  <c r="E228" i="2"/>
  <c r="N86" i="2"/>
  <c r="N71" i="2"/>
  <c r="D86" i="2"/>
  <c r="K227" i="2"/>
  <c r="K214" i="2"/>
  <c r="C131" i="2"/>
  <c r="H84" i="2"/>
  <c r="F65" i="2"/>
  <c r="H71" i="2"/>
  <c r="D65" i="2"/>
  <c r="G145" i="20"/>
  <c r="N84" i="2"/>
  <c r="G213" i="2"/>
  <c r="G226" i="2"/>
  <c r="G146" i="20"/>
  <c r="F85" i="2"/>
  <c r="I71" i="2"/>
  <c r="M85" i="2"/>
  <c r="H231" i="2"/>
  <c r="I227" i="2"/>
  <c r="I214" i="2"/>
  <c r="G84" i="2"/>
  <c r="C226" i="2"/>
  <c r="C213" i="2"/>
  <c r="F213" i="2"/>
  <c r="F226" i="2"/>
  <c r="K129" i="2"/>
  <c r="R129" i="2" s="1"/>
  <c r="N65" i="2"/>
  <c r="K233" i="2"/>
  <c r="K71" i="2"/>
  <c r="D227" i="2"/>
  <c r="D214" i="2"/>
  <c r="J226" i="2"/>
  <c r="J213" i="2"/>
  <c r="J86" i="2"/>
  <c r="J65" i="2"/>
  <c r="F71" i="2"/>
  <c r="L215" i="2"/>
  <c r="L228" i="2"/>
  <c r="D215" i="2"/>
  <c r="D228" i="2"/>
  <c r="C227" i="2"/>
  <c r="C214" i="2"/>
  <c r="K65" i="2"/>
  <c r="G65" i="2"/>
  <c r="G131" i="2"/>
  <c r="Q131" i="2" s="1"/>
  <c r="H226" i="2"/>
  <c r="H213" i="2"/>
  <c r="Q276" i="5" l="1"/>
  <c r="R276" i="5"/>
  <c r="R276" i="2"/>
  <c r="R277" i="2"/>
  <c r="R277" i="5"/>
  <c r="Q278" i="5"/>
  <c r="R27" i="2"/>
  <c r="Q276" i="2"/>
  <c r="R278" i="5"/>
  <c r="T277" i="5"/>
  <c r="H152" i="20" s="1"/>
  <c r="T278" i="5"/>
  <c r="H153" i="20" s="1"/>
  <c r="Q277" i="5"/>
  <c r="T276" i="5"/>
  <c r="H151" i="20" s="1"/>
  <c r="N269" i="5"/>
  <c r="N257" i="5"/>
  <c r="I269" i="5"/>
  <c r="I257" i="5"/>
  <c r="K269" i="5"/>
  <c r="K257" i="5"/>
  <c r="J269" i="5"/>
  <c r="J257" i="5"/>
  <c r="Q278" i="2"/>
  <c r="F269" i="5"/>
  <c r="F257" i="5"/>
  <c r="L269" i="5"/>
  <c r="L257" i="5"/>
  <c r="G257" i="5"/>
  <c r="G269" i="5"/>
  <c r="H269" i="5"/>
  <c r="H257" i="5"/>
  <c r="E257" i="5"/>
  <c r="E269" i="5"/>
  <c r="D269" i="5"/>
  <c r="D257" i="5"/>
  <c r="M269" i="5"/>
  <c r="M257" i="5"/>
  <c r="T277" i="2"/>
  <c r="G152" i="20" s="1"/>
  <c r="T276" i="2"/>
  <c r="G151" i="20" s="1"/>
  <c r="T278" i="2"/>
  <c r="G153" i="20" s="1"/>
  <c r="Q277" i="2"/>
  <c r="R278" i="2"/>
  <c r="H269" i="2"/>
  <c r="H257" i="2"/>
  <c r="J269" i="2"/>
  <c r="J257" i="2"/>
  <c r="L257" i="2"/>
  <c r="L269" i="2"/>
  <c r="F269" i="2"/>
  <c r="F257" i="2"/>
  <c r="K257" i="2"/>
  <c r="K269" i="2"/>
  <c r="E269" i="2"/>
  <c r="E257" i="2"/>
  <c r="N269" i="2"/>
  <c r="N257" i="2"/>
  <c r="I269" i="2"/>
  <c r="I257" i="2"/>
  <c r="M269" i="2"/>
  <c r="M257" i="2"/>
  <c r="D257" i="2"/>
  <c r="D269" i="2"/>
  <c r="G257" i="2"/>
  <c r="G269" i="2"/>
  <c r="H96" i="2"/>
  <c r="H102" i="2" s="1"/>
  <c r="M96" i="2"/>
  <c r="M102" i="2" s="1"/>
  <c r="I96" i="5"/>
  <c r="I102" i="5" s="1"/>
  <c r="D96" i="2"/>
  <c r="D102" i="2" s="1"/>
  <c r="J96" i="5"/>
  <c r="J102" i="5" s="1"/>
  <c r="E96" i="5"/>
  <c r="E102" i="5" s="1"/>
  <c r="F96" i="2"/>
  <c r="F102" i="2" s="1"/>
  <c r="F96" i="5"/>
  <c r="F102" i="5" s="1"/>
  <c r="D96" i="5"/>
  <c r="D102" i="5" s="1"/>
  <c r="M96" i="5"/>
  <c r="M102" i="5" s="1"/>
  <c r="J96" i="2"/>
  <c r="J102" i="2" s="1"/>
  <c r="L96" i="2"/>
  <c r="L102" i="2" s="1"/>
  <c r="E96" i="2"/>
  <c r="E102" i="2" s="1"/>
  <c r="N96" i="2"/>
  <c r="N102" i="2" s="1"/>
  <c r="N96" i="5"/>
  <c r="N102" i="5" s="1"/>
  <c r="I83" i="2"/>
  <c r="L96" i="5"/>
  <c r="L102" i="5" s="1"/>
  <c r="R213" i="5"/>
  <c r="Q213" i="5"/>
  <c r="Q213" i="2"/>
  <c r="R214" i="2"/>
  <c r="Q214" i="2"/>
  <c r="Q206" i="2"/>
  <c r="T213" i="2"/>
  <c r="Y213" i="23" s="1"/>
  <c r="T215" i="2"/>
  <c r="Y215" i="23" s="1"/>
  <c r="T214" i="2"/>
  <c r="Y214" i="23" s="1"/>
  <c r="R215" i="2"/>
  <c r="Q27" i="2"/>
  <c r="R28" i="2"/>
  <c r="R84" i="2"/>
  <c r="R213" i="2"/>
  <c r="T206" i="2"/>
  <c r="T237" i="2" s="1"/>
  <c r="G246" i="2"/>
  <c r="Q215" i="2"/>
  <c r="R29" i="2"/>
  <c r="R85" i="2"/>
  <c r="Q28" i="2"/>
  <c r="Q84" i="2"/>
  <c r="R206" i="2"/>
  <c r="R206" i="5"/>
  <c r="R30" i="2"/>
  <c r="R86" i="2"/>
  <c r="Q30" i="2"/>
  <c r="Q86" i="2"/>
  <c r="Q29" i="2"/>
  <c r="O29" i="2"/>
  <c r="R214" i="5"/>
  <c r="Q214" i="5"/>
  <c r="Q215" i="5"/>
  <c r="T215" i="5"/>
  <c r="Q29" i="5"/>
  <c r="O29" i="5"/>
  <c r="R30" i="5"/>
  <c r="O30" i="5"/>
  <c r="T214" i="5"/>
  <c r="R215" i="5"/>
  <c r="T206" i="5"/>
  <c r="T237" i="5" s="1"/>
  <c r="R29" i="5"/>
  <c r="R85" i="5"/>
  <c r="Q28" i="5"/>
  <c r="O28" i="5"/>
  <c r="R28" i="5"/>
  <c r="R84" i="5"/>
  <c r="R27" i="5"/>
  <c r="Q27" i="5"/>
  <c r="Q30" i="5"/>
  <c r="Q86" i="5"/>
  <c r="T213" i="5"/>
  <c r="Q206" i="5"/>
  <c r="T129" i="2"/>
  <c r="O134" i="2" s="1"/>
  <c r="G83" i="5"/>
  <c r="Q52" i="5"/>
  <c r="G237" i="2"/>
  <c r="G96" i="2"/>
  <c r="G102" i="2" s="1"/>
  <c r="Q52" i="2"/>
  <c r="T130" i="5"/>
  <c r="O135" i="5" s="1"/>
  <c r="K96" i="2"/>
  <c r="K102" i="2" s="1"/>
  <c r="R52" i="2"/>
  <c r="K237" i="5"/>
  <c r="K96" i="5"/>
  <c r="K102" i="5" s="1"/>
  <c r="R52" i="5"/>
  <c r="C237" i="2"/>
  <c r="T131" i="2"/>
  <c r="O136" i="2" s="1"/>
  <c r="T130" i="2"/>
  <c r="O135" i="2" s="1"/>
  <c r="T129" i="5"/>
  <c r="O134" i="5" s="1"/>
  <c r="R136" i="5"/>
  <c r="Q136" i="5"/>
  <c r="K166" i="5"/>
  <c r="H146" i="20"/>
  <c r="J165" i="5"/>
  <c r="H145" i="20"/>
  <c r="L27" i="5"/>
  <c r="H84" i="20"/>
  <c r="N27" i="2"/>
  <c r="G84" i="20"/>
  <c r="D30" i="2"/>
  <c r="G87" i="20"/>
  <c r="H28" i="2"/>
  <c r="G85" i="20"/>
  <c r="I29" i="2"/>
  <c r="G86" i="20"/>
  <c r="J29" i="5"/>
  <c r="H86" i="20"/>
  <c r="K28" i="5"/>
  <c r="H85" i="20"/>
  <c r="C30" i="5"/>
  <c r="H87" i="20"/>
  <c r="H96" i="5"/>
  <c r="H102" i="5" s="1"/>
  <c r="H83" i="5"/>
  <c r="I96" i="2"/>
  <c r="I102" i="2" s="1"/>
  <c r="M128" i="2"/>
  <c r="G96" i="5"/>
  <c r="G102" i="5" s="1"/>
  <c r="K212" i="2"/>
  <c r="K231" i="2"/>
  <c r="H212" i="5"/>
  <c r="H243" i="5" s="1"/>
  <c r="D27" i="5"/>
  <c r="G212" i="5"/>
  <c r="I212" i="5"/>
  <c r="I243" i="5" s="1"/>
  <c r="H27" i="5"/>
  <c r="F30" i="5"/>
  <c r="K237" i="2"/>
  <c r="I27" i="2"/>
  <c r="F30" i="2"/>
  <c r="I212" i="2"/>
  <c r="I243" i="2" s="1"/>
  <c r="E27" i="5"/>
  <c r="J27" i="5"/>
  <c r="L29" i="2"/>
  <c r="K27" i="5"/>
  <c r="N27" i="5"/>
  <c r="M27" i="5"/>
  <c r="F27" i="5"/>
  <c r="G27" i="5"/>
  <c r="I27" i="5"/>
  <c r="C52" i="5"/>
  <c r="L128" i="5"/>
  <c r="R128" i="5" s="1"/>
  <c r="D83" i="5"/>
  <c r="W52" i="5"/>
  <c r="X52" i="5" s="1"/>
  <c r="W52" i="2"/>
  <c r="X52" i="2" s="1"/>
  <c r="G128" i="2"/>
  <c r="C52" i="2"/>
  <c r="N212" i="5"/>
  <c r="N243" i="5" s="1"/>
  <c r="I166" i="5"/>
  <c r="N245" i="2"/>
  <c r="M128" i="5"/>
  <c r="L165" i="5"/>
  <c r="C28" i="2"/>
  <c r="K27" i="2"/>
  <c r="H30" i="2"/>
  <c r="F212" i="5"/>
  <c r="F243" i="5" s="1"/>
  <c r="C27" i="2"/>
  <c r="D30" i="5"/>
  <c r="L27" i="2"/>
  <c r="M27" i="2"/>
  <c r="D27" i="2"/>
  <c r="M29" i="5"/>
  <c r="D128" i="5"/>
  <c r="G30" i="5"/>
  <c r="G29" i="5"/>
  <c r="F167" i="5"/>
  <c r="J212" i="2"/>
  <c r="J243" i="2" s="1"/>
  <c r="J166" i="5"/>
  <c r="I165" i="5"/>
  <c r="M212" i="5"/>
  <c r="M243" i="5" s="1"/>
  <c r="K167" i="5"/>
  <c r="L166" i="5"/>
  <c r="D165" i="5"/>
  <c r="M166" i="5"/>
  <c r="F166" i="5"/>
  <c r="N166" i="5"/>
  <c r="G166" i="5"/>
  <c r="C165" i="5"/>
  <c r="C166" i="5"/>
  <c r="D166" i="5"/>
  <c r="K165" i="5"/>
  <c r="J167" i="5"/>
  <c r="C167" i="5"/>
  <c r="H165" i="5"/>
  <c r="E166" i="5"/>
  <c r="H166" i="5"/>
  <c r="M165" i="5"/>
  <c r="N165" i="5"/>
  <c r="N167" i="5"/>
  <c r="F165" i="5"/>
  <c r="G165" i="5"/>
  <c r="E165" i="5"/>
  <c r="K30" i="5"/>
  <c r="C29" i="5"/>
  <c r="K29" i="5"/>
  <c r="D29" i="5"/>
  <c r="L29" i="5"/>
  <c r="I29" i="5"/>
  <c r="F29" i="5"/>
  <c r="N29" i="5"/>
  <c r="C65" i="5"/>
  <c r="M244" i="5"/>
  <c r="N245" i="5"/>
  <c r="H28" i="5"/>
  <c r="I244" i="5"/>
  <c r="N128" i="5"/>
  <c r="J83" i="5"/>
  <c r="N83" i="5"/>
  <c r="C245" i="5"/>
  <c r="G28" i="5"/>
  <c r="I28" i="5"/>
  <c r="G128" i="5"/>
  <c r="C28" i="5"/>
  <c r="D245" i="5"/>
  <c r="F28" i="5"/>
  <c r="K231" i="5"/>
  <c r="K83" i="5"/>
  <c r="E83" i="5"/>
  <c r="F83" i="5"/>
  <c r="M28" i="5"/>
  <c r="D28" i="5"/>
  <c r="D244" i="5"/>
  <c r="I83" i="5"/>
  <c r="M83" i="5"/>
  <c r="J28" i="5"/>
  <c r="K212" i="5"/>
  <c r="C246" i="5"/>
  <c r="L83" i="5"/>
  <c r="L212" i="5"/>
  <c r="H246" i="5"/>
  <c r="E128" i="5"/>
  <c r="C27" i="5"/>
  <c r="L28" i="5"/>
  <c r="H29" i="5"/>
  <c r="E29" i="5"/>
  <c r="K246" i="5"/>
  <c r="J212" i="5"/>
  <c r="N244" i="5"/>
  <c r="E244" i="5"/>
  <c r="J244" i="5"/>
  <c r="G245" i="5"/>
  <c r="F244" i="5"/>
  <c r="K245" i="5"/>
  <c r="D246" i="5"/>
  <c r="H245" i="5"/>
  <c r="D212" i="5"/>
  <c r="J245" i="5"/>
  <c r="L246" i="5"/>
  <c r="D167" i="5"/>
  <c r="E167" i="5"/>
  <c r="I167" i="5"/>
  <c r="G167" i="5"/>
  <c r="H167" i="5"/>
  <c r="M167" i="5"/>
  <c r="L167" i="5"/>
  <c r="C231" i="5"/>
  <c r="T231" i="5"/>
  <c r="G246" i="5"/>
  <c r="C244" i="5"/>
  <c r="N28" i="5"/>
  <c r="E28" i="5"/>
  <c r="F245" i="5"/>
  <c r="E212" i="5"/>
  <c r="L244" i="5"/>
  <c r="M30" i="5"/>
  <c r="J30" i="5"/>
  <c r="I30" i="5"/>
  <c r="E30" i="5"/>
  <c r="L30" i="5"/>
  <c r="N30" i="5"/>
  <c r="H30" i="5"/>
  <c r="L128" i="2"/>
  <c r="H128" i="2"/>
  <c r="D128" i="2"/>
  <c r="E30" i="2"/>
  <c r="F225" i="2"/>
  <c r="F212" i="2"/>
  <c r="K83" i="2"/>
  <c r="D246" i="2"/>
  <c r="G231" i="2"/>
  <c r="C65" i="2"/>
  <c r="I245" i="2"/>
  <c r="D166" i="2"/>
  <c r="N166" i="2"/>
  <c r="M166" i="2"/>
  <c r="J166" i="2"/>
  <c r="G166" i="2"/>
  <c r="E166" i="2"/>
  <c r="F166" i="2"/>
  <c r="I166" i="2"/>
  <c r="D165" i="2"/>
  <c r="H165" i="2"/>
  <c r="L165" i="2"/>
  <c r="I165" i="2"/>
  <c r="K165" i="2"/>
  <c r="E246" i="2"/>
  <c r="F246" i="2"/>
  <c r="F165" i="2"/>
  <c r="L244" i="2"/>
  <c r="M83" i="2"/>
  <c r="L83" i="2"/>
  <c r="H29" i="2"/>
  <c r="N29" i="2"/>
  <c r="L166" i="2"/>
  <c r="N225" i="2"/>
  <c r="N212" i="2"/>
  <c r="C245" i="2"/>
  <c r="J83" i="2"/>
  <c r="D245" i="2"/>
  <c r="D29" i="2"/>
  <c r="M29" i="2"/>
  <c r="D225" i="2"/>
  <c r="D212" i="2"/>
  <c r="D83" i="2"/>
  <c r="J28" i="2"/>
  <c r="E28" i="2"/>
  <c r="M28" i="2"/>
  <c r="I28" i="2"/>
  <c r="H225" i="2"/>
  <c r="H212" i="2"/>
  <c r="K29" i="2"/>
  <c r="I30" i="2"/>
  <c r="G30" i="2"/>
  <c r="C30" i="2"/>
  <c r="L30" i="2"/>
  <c r="K30" i="2"/>
  <c r="F29" i="2"/>
  <c r="C29" i="2"/>
  <c r="J165" i="2"/>
  <c r="H244" i="2"/>
  <c r="G83" i="2"/>
  <c r="L246" i="2"/>
  <c r="J128" i="2"/>
  <c r="N128" i="2"/>
  <c r="N83" i="2"/>
  <c r="F244" i="2"/>
  <c r="C244" i="2"/>
  <c r="G28" i="2"/>
  <c r="E165" i="2"/>
  <c r="F83" i="2"/>
  <c r="K245" i="2"/>
  <c r="M246" i="2"/>
  <c r="E225" i="2"/>
  <c r="E212" i="2"/>
  <c r="E245" i="2"/>
  <c r="J30" i="2"/>
  <c r="E83" i="2"/>
  <c r="I246" i="2"/>
  <c r="M165" i="2"/>
  <c r="H83" i="2"/>
  <c r="D167" i="2"/>
  <c r="F167" i="2"/>
  <c r="H167" i="2"/>
  <c r="E167" i="2"/>
  <c r="J167" i="2"/>
  <c r="K167" i="2"/>
  <c r="I167" i="2"/>
  <c r="N167" i="2"/>
  <c r="M167" i="2"/>
  <c r="N244" i="2"/>
  <c r="T231" i="2"/>
  <c r="K28" i="2"/>
  <c r="H166" i="2"/>
  <c r="N165" i="2"/>
  <c r="G165" i="2"/>
  <c r="L28" i="2"/>
  <c r="N28" i="2"/>
  <c r="E29" i="2"/>
  <c r="K166" i="2"/>
  <c r="G167" i="2"/>
  <c r="J29" i="2"/>
  <c r="K128" i="2"/>
  <c r="J244" i="2"/>
  <c r="M30" i="2"/>
  <c r="E27" i="2"/>
  <c r="C166" i="2"/>
  <c r="G244" i="2"/>
  <c r="C165" i="2"/>
  <c r="H27" i="2"/>
  <c r="F27" i="2"/>
  <c r="G27" i="2"/>
  <c r="J27" i="2"/>
  <c r="M225" i="2"/>
  <c r="M212" i="2"/>
  <c r="E128" i="2"/>
  <c r="C167" i="2"/>
  <c r="H245" i="2"/>
  <c r="N246" i="2"/>
  <c r="L225" i="2"/>
  <c r="L212" i="2"/>
  <c r="D28" i="2"/>
  <c r="G212" i="2"/>
  <c r="N30" i="2"/>
  <c r="F28" i="2"/>
  <c r="K244" i="2"/>
  <c r="J246" i="2"/>
  <c r="G29" i="2"/>
  <c r="L167" i="2"/>
  <c r="N125" i="1"/>
  <c r="M125" i="1"/>
  <c r="L125" i="1"/>
  <c r="K125" i="1"/>
  <c r="J125" i="1"/>
  <c r="I125" i="1"/>
  <c r="H125" i="1"/>
  <c r="G125" i="1"/>
  <c r="F125" i="1"/>
  <c r="E125" i="1"/>
  <c r="D125" i="1"/>
  <c r="C125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N189" i="1"/>
  <c r="N234" i="1" s="1"/>
  <c r="M189" i="1"/>
  <c r="M234" i="1" s="1"/>
  <c r="L189" i="1"/>
  <c r="K189" i="1"/>
  <c r="J189" i="1"/>
  <c r="J234" i="1" s="1"/>
  <c r="I189" i="1"/>
  <c r="I234" i="1" s="1"/>
  <c r="H189" i="1"/>
  <c r="H234" i="1" s="1"/>
  <c r="G189" i="1"/>
  <c r="F189" i="1"/>
  <c r="F234" i="1" s="1"/>
  <c r="E189" i="1"/>
  <c r="E234" i="1" s="1"/>
  <c r="D189" i="1"/>
  <c r="D234" i="1" s="1"/>
  <c r="C189" i="1"/>
  <c r="N188" i="1"/>
  <c r="N233" i="1" s="1"/>
  <c r="M188" i="1"/>
  <c r="M233" i="1" s="1"/>
  <c r="L188" i="1"/>
  <c r="L233" i="1" s="1"/>
  <c r="K188" i="1"/>
  <c r="J188" i="1"/>
  <c r="J233" i="1" s="1"/>
  <c r="I188" i="1"/>
  <c r="I233" i="1" s="1"/>
  <c r="H188" i="1"/>
  <c r="H233" i="1" s="1"/>
  <c r="G188" i="1"/>
  <c r="F188" i="1"/>
  <c r="F233" i="1" s="1"/>
  <c r="E188" i="1"/>
  <c r="E233" i="1" s="1"/>
  <c r="D188" i="1"/>
  <c r="C188" i="1"/>
  <c r="N187" i="1"/>
  <c r="N232" i="1" s="1"/>
  <c r="M187" i="1"/>
  <c r="M232" i="1" s="1"/>
  <c r="L187" i="1"/>
  <c r="K187" i="1"/>
  <c r="J187" i="1"/>
  <c r="J232" i="1" s="1"/>
  <c r="I187" i="1"/>
  <c r="I232" i="1" s="1"/>
  <c r="H187" i="1"/>
  <c r="H232" i="1" s="1"/>
  <c r="G187" i="1"/>
  <c r="F187" i="1"/>
  <c r="F232" i="1" s="1"/>
  <c r="E187" i="1"/>
  <c r="E232" i="1" s="1"/>
  <c r="D187" i="1"/>
  <c r="D232" i="1" s="1"/>
  <c r="C187" i="1"/>
  <c r="Q269" i="5" l="1"/>
  <c r="D275" i="5"/>
  <c r="J275" i="5"/>
  <c r="I275" i="5"/>
  <c r="N275" i="5"/>
  <c r="M275" i="5"/>
  <c r="E275" i="5"/>
  <c r="G275" i="5"/>
  <c r="Q257" i="5"/>
  <c r="C257" i="5"/>
  <c r="C269" i="5"/>
  <c r="T269" i="5" s="1"/>
  <c r="H275" i="5"/>
  <c r="L275" i="5"/>
  <c r="F275" i="5"/>
  <c r="R257" i="5"/>
  <c r="K275" i="5"/>
  <c r="R269" i="5"/>
  <c r="Q269" i="2"/>
  <c r="I275" i="2"/>
  <c r="N275" i="2"/>
  <c r="F275" i="2"/>
  <c r="D275" i="2"/>
  <c r="E275" i="2"/>
  <c r="J275" i="2"/>
  <c r="H275" i="2"/>
  <c r="R269" i="2"/>
  <c r="C257" i="2"/>
  <c r="C269" i="2"/>
  <c r="T269" i="2" s="1"/>
  <c r="R257" i="2"/>
  <c r="K275" i="2"/>
  <c r="Q257" i="2"/>
  <c r="G275" i="2"/>
  <c r="M275" i="2"/>
  <c r="L275" i="2"/>
  <c r="T52" i="5"/>
  <c r="O57" i="5" s="1"/>
  <c r="T52" i="2"/>
  <c r="O57" i="2" s="1"/>
  <c r="O218" i="5"/>
  <c r="Y213" i="5"/>
  <c r="V213" i="5"/>
  <c r="O219" i="2"/>
  <c r="V214" i="2"/>
  <c r="G116" i="20" s="1"/>
  <c r="Y214" i="2"/>
  <c r="Y214" i="19"/>
  <c r="O219" i="5"/>
  <c r="V214" i="5"/>
  <c r="H116" i="20" s="1"/>
  <c r="Y214" i="5"/>
  <c r="O220" i="5"/>
  <c r="V215" i="5"/>
  <c r="H117" i="20" s="1"/>
  <c r="Y215" i="5"/>
  <c r="O220" i="2"/>
  <c r="V215" i="2"/>
  <c r="Y215" i="2"/>
  <c r="Y215" i="19"/>
  <c r="O218" i="2"/>
  <c r="Y213" i="2"/>
  <c r="V213" i="2"/>
  <c r="G115" i="20" s="1"/>
  <c r="Y213" i="19"/>
  <c r="Q218" i="2"/>
  <c r="T165" i="2"/>
  <c r="H139" i="20"/>
  <c r="R219" i="2"/>
  <c r="Y214" i="21"/>
  <c r="T187" i="1"/>
  <c r="T232" i="1" s="1"/>
  <c r="Q187" i="1"/>
  <c r="R188" i="1"/>
  <c r="T189" i="1"/>
  <c r="T234" i="1" s="1"/>
  <c r="Q189" i="1"/>
  <c r="T123" i="1"/>
  <c r="Q123" i="1"/>
  <c r="R123" i="1"/>
  <c r="T124" i="1"/>
  <c r="Q124" i="1"/>
  <c r="R124" i="1"/>
  <c r="T125" i="1"/>
  <c r="Q125" i="1"/>
  <c r="R125" i="1"/>
  <c r="Q212" i="2"/>
  <c r="Y215" i="21"/>
  <c r="Y213" i="21"/>
  <c r="Q220" i="2"/>
  <c r="R218" i="2"/>
  <c r="R220" i="2"/>
  <c r="K243" i="2"/>
  <c r="R212" i="2"/>
  <c r="Q219" i="2"/>
  <c r="R128" i="2"/>
  <c r="Q128" i="5"/>
  <c r="Q220" i="5"/>
  <c r="R220" i="5"/>
  <c r="G243" i="5"/>
  <c r="Q212" i="5"/>
  <c r="Q219" i="5"/>
  <c r="R212" i="5"/>
  <c r="R218" i="5"/>
  <c r="R219" i="5"/>
  <c r="Q218" i="5"/>
  <c r="R135" i="5"/>
  <c r="Q134" i="5"/>
  <c r="Q135" i="2"/>
  <c r="U214" i="5"/>
  <c r="H110" i="20" s="1"/>
  <c r="Q135" i="5"/>
  <c r="C233" i="1"/>
  <c r="T188" i="1"/>
  <c r="T233" i="1" s="1"/>
  <c r="R83" i="2"/>
  <c r="Q83" i="5"/>
  <c r="Q128" i="2"/>
  <c r="Q134" i="2"/>
  <c r="R134" i="5"/>
  <c r="K232" i="1"/>
  <c r="R187" i="1"/>
  <c r="G233" i="1"/>
  <c r="Q188" i="1"/>
  <c r="K234" i="1"/>
  <c r="R189" i="1"/>
  <c r="R83" i="5"/>
  <c r="Q136" i="2"/>
  <c r="Q83" i="2"/>
  <c r="R135" i="2"/>
  <c r="R134" i="2"/>
  <c r="R136" i="2"/>
  <c r="T30" i="5"/>
  <c r="T167" i="5"/>
  <c r="T166" i="5"/>
  <c r="T27" i="5"/>
  <c r="T28" i="5"/>
  <c r="T29" i="5"/>
  <c r="T165" i="5"/>
  <c r="T167" i="2"/>
  <c r="T27" i="2"/>
  <c r="T29" i="2"/>
  <c r="T30" i="2"/>
  <c r="T28" i="2"/>
  <c r="T166" i="2"/>
  <c r="H105" i="20"/>
  <c r="U215" i="5"/>
  <c r="H111" i="20" s="1"/>
  <c r="H103" i="20"/>
  <c r="U213" i="5"/>
  <c r="H109" i="20" s="1"/>
  <c r="U214" i="2"/>
  <c r="G110" i="20" s="1"/>
  <c r="U213" i="2"/>
  <c r="G109" i="20" s="1"/>
  <c r="U215" i="2"/>
  <c r="G111" i="20" s="1"/>
  <c r="C136" i="5"/>
  <c r="H141" i="20"/>
  <c r="C135" i="5"/>
  <c r="H140" i="20"/>
  <c r="K136" i="2"/>
  <c r="G141" i="20"/>
  <c r="C134" i="2"/>
  <c r="G139" i="20"/>
  <c r="C135" i="2"/>
  <c r="G140" i="20"/>
  <c r="G103" i="20"/>
  <c r="G104" i="20"/>
  <c r="K219" i="5"/>
  <c r="H104" i="20"/>
  <c r="G105" i="20"/>
  <c r="C96" i="5"/>
  <c r="C102" i="5" s="1"/>
  <c r="A52" i="5"/>
  <c r="C96" i="2"/>
  <c r="C102" i="2" s="1"/>
  <c r="A52" i="2"/>
  <c r="D219" i="5"/>
  <c r="M220" i="2"/>
  <c r="I219" i="2"/>
  <c r="K218" i="2"/>
  <c r="H220" i="5"/>
  <c r="J219" i="5"/>
  <c r="H219" i="5"/>
  <c r="G219" i="5"/>
  <c r="D218" i="5"/>
  <c r="F218" i="5"/>
  <c r="I218" i="5"/>
  <c r="L218" i="5"/>
  <c r="C218" i="5"/>
  <c r="G220" i="5"/>
  <c r="I134" i="5"/>
  <c r="M134" i="5"/>
  <c r="E134" i="5"/>
  <c r="F134" i="5"/>
  <c r="D134" i="5"/>
  <c r="L134" i="5"/>
  <c r="H134" i="5"/>
  <c r="N134" i="5"/>
  <c r="J134" i="5"/>
  <c r="L243" i="5"/>
  <c r="C128" i="5"/>
  <c r="T128" i="5" s="1"/>
  <c r="O133" i="5" s="1"/>
  <c r="C134" i="5"/>
  <c r="J243" i="5"/>
  <c r="C220" i="5"/>
  <c r="G134" i="5"/>
  <c r="T245" i="5"/>
  <c r="U245" i="5" s="1"/>
  <c r="V245" i="5" s="1"/>
  <c r="L219" i="5"/>
  <c r="E219" i="5"/>
  <c r="I219" i="5"/>
  <c r="M219" i="5"/>
  <c r="N219" i="5"/>
  <c r="M136" i="5"/>
  <c r="G136" i="5"/>
  <c r="E136" i="5"/>
  <c r="I136" i="5"/>
  <c r="L136" i="5"/>
  <c r="F136" i="5"/>
  <c r="D136" i="5"/>
  <c r="J136" i="5"/>
  <c r="K136" i="5"/>
  <c r="H136" i="5"/>
  <c r="N136" i="5"/>
  <c r="L220" i="5"/>
  <c r="D243" i="5"/>
  <c r="D220" i="5"/>
  <c r="E218" i="5"/>
  <c r="K220" i="5"/>
  <c r="K243" i="5"/>
  <c r="C219" i="5"/>
  <c r="T246" i="5"/>
  <c r="U246" i="5" s="1"/>
  <c r="V246" i="5" s="1"/>
  <c r="I220" i="5"/>
  <c r="J220" i="5"/>
  <c r="E220" i="5"/>
  <c r="F220" i="5"/>
  <c r="N220" i="5"/>
  <c r="M220" i="5"/>
  <c r="E243" i="5"/>
  <c r="F219" i="5"/>
  <c r="T244" i="5"/>
  <c r="U244" i="5" s="1"/>
  <c r="V244" i="5" s="1"/>
  <c r="H218" i="5"/>
  <c r="G218" i="5"/>
  <c r="K218" i="5"/>
  <c r="J218" i="5"/>
  <c r="N218" i="5"/>
  <c r="I135" i="5"/>
  <c r="M135" i="5"/>
  <c r="N135" i="5"/>
  <c r="D135" i="5"/>
  <c r="H135" i="5"/>
  <c r="J135" i="5"/>
  <c r="L135" i="5"/>
  <c r="E135" i="5"/>
  <c r="F135" i="5"/>
  <c r="G135" i="5"/>
  <c r="K134" i="5"/>
  <c r="K135" i="5"/>
  <c r="M218" i="5"/>
  <c r="C225" i="5"/>
  <c r="T225" i="5"/>
  <c r="C212" i="5"/>
  <c r="T212" i="5" s="1"/>
  <c r="C83" i="5"/>
  <c r="G135" i="2"/>
  <c r="L220" i="2"/>
  <c r="G134" i="2"/>
  <c r="J220" i="2"/>
  <c r="K135" i="2"/>
  <c r="H219" i="2"/>
  <c r="E219" i="2"/>
  <c r="N220" i="2"/>
  <c r="D219" i="2"/>
  <c r="M243" i="2"/>
  <c r="T244" i="2"/>
  <c r="U244" i="2" s="1"/>
  <c r="V244" i="2" s="1"/>
  <c r="I218" i="2"/>
  <c r="M218" i="2"/>
  <c r="D218" i="2"/>
  <c r="E218" i="2"/>
  <c r="H218" i="2"/>
  <c r="D243" i="2"/>
  <c r="N243" i="2"/>
  <c r="F243" i="2"/>
  <c r="L243" i="2"/>
  <c r="H136" i="2"/>
  <c r="D136" i="2"/>
  <c r="L136" i="2"/>
  <c r="F136" i="2"/>
  <c r="N136" i="2"/>
  <c r="J136" i="2"/>
  <c r="E136" i="2"/>
  <c r="I136" i="2"/>
  <c r="M136" i="2"/>
  <c r="G218" i="2"/>
  <c r="J218" i="2"/>
  <c r="E134" i="2"/>
  <c r="F134" i="2"/>
  <c r="L134" i="2"/>
  <c r="I134" i="2"/>
  <c r="J134" i="2"/>
  <c r="M134" i="2"/>
  <c r="D134" i="2"/>
  <c r="H134" i="2"/>
  <c r="N134" i="2"/>
  <c r="C218" i="2"/>
  <c r="N135" i="2"/>
  <c r="D135" i="2"/>
  <c r="E135" i="2"/>
  <c r="H135" i="2"/>
  <c r="J135" i="2"/>
  <c r="F135" i="2"/>
  <c r="L135" i="2"/>
  <c r="I135" i="2"/>
  <c r="M135" i="2"/>
  <c r="L218" i="2"/>
  <c r="C225" i="2"/>
  <c r="T225" i="2"/>
  <c r="C212" i="2"/>
  <c r="T212" i="2" s="1"/>
  <c r="Y212" i="23" s="1"/>
  <c r="C83" i="2"/>
  <c r="G243" i="2"/>
  <c r="C136" i="2"/>
  <c r="E243" i="2"/>
  <c r="H243" i="2"/>
  <c r="T245" i="2"/>
  <c r="U245" i="2" s="1"/>
  <c r="V245" i="2" s="1"/>
  <c r="J219" i="2"/>
  <c r="F219" i="2"/>
  <c r="M219" i="2"/>
  <c r="N219" i="2"/>
  <c r="G219" i="2"/>
  <c r="L219" i="2"/>
  <c r="G136" i="2"/>
  <c r="C128" i="2"/>
  <c r="T128" i="2" s="1"/>
  <c r="O133" i="2" s="1"/>
  <c r="T246" i="2"/>
  <c r="U246" i="2" s="1"/>
  <c r="V246" i="2" s="1"/>
  <c r="H220" i="2"/>
  <c r="G220" i="2"/>
  <c r="C220" i="2"/>
  <c r="K220" i="2"/>
  <c r="N218" i="2"/>
  <c r="I220" i="2"/>
  <c r="K219" i="2"/>
  <c r="F218" i="2"/>
  <c r="C219" i="2"/>
  <c r="F220" i="2"/>
  <c r="E220" i="2"/>
  <c r="K134" i="2"/>
  <c r="D220" i="2"/>
  <c r="C232" i="1"/>
  <c r="K233" i="1"/>
  <c r="G234" i="1"/>
  <c r="L232" i="1"/>
  <c r="D233" i="1"/>
  <c r="L234" i="1"/>
  <c r="G232" i="1"/>
  <c r="C234" i="1"/>
  <c r="Q275" i="5" l="1"/>
  <c r="R275" i="5"/>
  <c r="Q57" i="2"/>
  <c r="T257" i="5"/>
  <c r="C275" i="5"/>
  <c r="T275" i="5" s="1"/>
  <c r="H150" i="20" s="1"/>
  <c r="Q275" i="2"/>
  <c r="R57" i="5"/>
  <c r="R275" i="2"/>
  <c r="Q57" i="5"/>
  <c r="C275" i="2"/>
  <c r="T275" i="2" s="1"/>
  <c r="G150" i="20" s="1"/>
  <c r="T257" i="2"/>
  <c r="R57" i="2"/>
  <c r="W213" i="5"/>
  <c r="H121" i="20" s="1"/>
  <c r="H115" i="20"/>
  <c r="W215" i="2"/>
  <c r="G123" i="20" s="1"/>
  <c r="G117" i="20"/>
  <c r="W214" i="5"/>
  <c r="H122" i="20" s="1"/>
  <c r="O217" i="2"/>
  <c r="V212" i="2"/>
  <c r="G114" i="20" s="1"/>
  <c r="Y212" i="2"/>
  <c r="Y212" i="19"/>
  <c r="O217" i="5"/>
  <c r="Y212" i="5"/>
  <c r="V212" i="5"/>
  <c r="H114" i="20" s="1"/>
  <c r="W215" i="5"/>
  <c r="H123" i="20" s="1"/>
  <c r="W214" i="2"/>
  <c r="G122" i="20" s="1"/>
  <c r="W213" i="2"/>
  <c r="G121" i="20" s="1"/>
  <c r="Q217" i="2"/>
  <c r="Q217" i="5"/>
  <c r="Q133" i="5"/>
  <c r="R217" i="5"/>
  <c r="R217" i="2"/>
  <c r="T219" i="5"/>
  <c r="T218" i="5"/>
  <c r="T220" i="5"/>
  <c r="T219" i="2"/>
  <c r="T218" i="2"/>
  <c r="T220" i="2"/>
  <c r="R133" i="5"/>
  <c r="Q133" i="2"/>
  <c r="R133" i="2"/>
  <c r="T136" i="5"/>
  <c r="T135" i="5"/>
  <c r="T134" i="5"/>
  <c r="T134" i="2"/>
  <c r="T135" i="2"/>
  <c r="T136" i="2"/>
  <c r="H90" i="20"/>
  <c r="G96" i="20"/>
  <c r="G90" i="20"/>
  <c r="G134" i="20"/>
  <c r="G128" i="20"/>
  <c r="H133" i="20"/>
  <c r="H127" i="20"/>
  <c r="G133" i="20"/>
  <c r="G127" i="20"/>
  <c r="G135" i="20"/>
  <c r="G129" i="20"/>
  <c r="H135" i="20"/>
  <c r="H129" i="20"/>
  <c r="H134" i="20"/>
  <c r="H128" i="20"/>
  <c r="C57" i="2"/>
  <c r="C57" i="5"/>
  <c r="H96" i="20"/>
  <c r="I57" i="2"/>
  <c r="H57" i="2"/>
  <c r="L57" i="2"/>
  <c r="G57" i="2"/>
  <c r="F57" i="2"/>
  <c r="D57" i="2"/>
  <c r="K57" i="2"/>
  <c r="N57" i="2"/>
  <c r="M57" i="2"/>
  <c r="E57" i="2"/>
  <c r="J57" i="2"/>
  <c r="D57" i="5"/>
  <c r="L57" i="5"/>
  <c r="K57" i="5"/>
  <c r="E57" i="5"/>
  <c r="N57" i="5"/>
  <c r="J57" i="5"/>
  <c r="H57" i="5"/>
  <c r="I57" i="5"/>
  <c r="G57" i="5"/>
  <c r="M57" i="5"/>
  <c r="F57" i="5"/>
  <c r="C243" i="5"/>
  <c r="G144" i="20"/>
  <c r="G138" i="20"/>
  <c r="Y212" i="21"/>
  <c r="C243" i="2"/>
  <c r="N144" i="1"/>
  <c r="M144" i="1"/>
  <c r="L144" i="1"/>
  <c r="K144" i="1"/>
  <c r="J144" i="1"/>
  <c r="I144" i="1"/>
  <c r="H144" i="1"/>
  <c r="G144" i="1"/>
  <c r="F144" i="1"/>
  <c r="E144" i="1"/>
  <c r="D144" i="1"/>
  <c r="C144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N142" i="1"/>
  <c r="M142" i="1"/>
  <c r="L142" i="1"/>
  <c r="K142" i="1"/>
  <c r="J142" i="1"/>
  <c r="I142" i="1"/>
  <c r="H142" i="1"/>
  <c r="G142" i="1"/>
  <c r="F142" i="1"/>
  <c r="E142" i="1"/>
  <c r="D142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N113" i="1"/>
  <c r="M113" i="1"/>
  <c r="L113" i="1"/>
  <c r="L131" i="1" s="1"/>
  <c r="K113" i="1"/>
  <c r="J113" i="1"/>
  <c r="J131" i="1" s="1"/>
  <c r="I113" i="1"/>
  <c r="H113" i="1"/>
  <c r="H131" i="1" s="1"/>
  <c r="G113" i="1"/>
  <c r="F113" i="1"/>
  <c r="E113" i="1"/>
  <c r="D113" i="1"/>
  <c r="D131" i="1" s="1"/>
  <c r="C113" i="1"/>
  <c r="N112" i="1"/>
  <c r="M112" i="1"/>
  <c r="L112" i="1"/>
  <c r="L130" i="1" s="1"/>
  <c r="K112" i="1"/>
  <c r="J112" i="1"/>
  <c r="I112" i="1"/>
  <c r="H112" i="1"/>
  <c r="H130" i="1" s="1"/>
  <c r="G112" i="1"/>
  <c r="F112" i="1"/>
  <c r="F130" i="1" s="1"/>
  <c r="E112" i="1"/>
  <c r="D112" i="1"/>
  <c r="D130" i="1" s="1"/>
  <c r="C112" i="1"/>
  <c r="N111" i="1"/>
  <c r="M111" i="1"/>
  <c r="L111" i="1"/>
  <c r="L129" i="1" s="1"/>
  <c r="K111" i="1"/>
  <c r="J111" i="1"/>
  <c r="I111" i="1"/>
  <c r="H111" i="1"/>
  <c r="H129" i="1" s="1"/>
  <c r="G111" i="1"/>
  <c r="F111" i="1"/>
  <c r="E111" i="1"/>
  <c r="D111" i="1"/>
  <c r="D129" i="1" s="1"/>
  <c r="R142" i="1" l="1"/>
  <c r="R143" i="1"/>
  <c r="R111" i="1"/>
  <c r="R112" i="1"/>
  <c r="R113" i="1"/>
  <c r="R117" i="1"/>
  <c r="R118" i="1"/>
  <c r="R119" i="1"/>
  <c r="R154" i="1"/>
  <c r="R155" i="1"/>
  <c r="R156" i="1"/>
  <c r="R148" i="1"/>
  <c r="R149" i="1"/>
  <c r="R150" i="1"/>
  <c r="Q142" i="1"/>
  <c r="T143" i="1"/>
  <c r="Q143" i="1"/>
  <c r="T144" i="1"/>
  <c r="Q144" i="1"/>
  <c r="R144" i="1"/>
  <c r="Q111" i="1"/>
  <c r="T112" i="1"/>
  <c r="Q112" i="1"/>
  <c r="T113" i="1"/>
  <c r="Q117" i="1"/>
  <c r="T118" i="1"/>
  <c r="Q119" i="1"/>
  <c r="T154" i="1"/>
  <c r="Q155" i="1"/>
  <c r="T156" i="1"/>
  <c r="Q149" i="1"/>
  <c r="T150" i="1"/>
  <c r="Q150" i="1"/>
  <c r="Q113" i="1"/>
  <c r="T117" i="1"/>
  <c r="Q118" i="1"/>
  <c r="T119" i="1"/>
  <c r="Q154" i="1"/>
  <c r="T155" i="1"/>
  <c r="Q156" i="1"/>
  <c r="T148" i="1"/>
  <c r="Q148" i="1"/>
  <c r="T149" i="1"/>
  <c r="T57" i="5"/>
  <c r="T57" i="2"/>
  <c r="G102" i="20"/>
  <c r="U212" i="2"/>
  <c r="G108" i="20" s="1"/>
  <c r="U212" i="5"/>
  <c r="H108" i="20" s="1"/>
  <c r="H102" i="20"/>
  <c r="C164" i="5"/>
  <c r="H144" i="20"/>
  <c r="C133" i="5"/>
  <c r="H138" i="20"/>
  <c r="C217" i="5"/>
  <c r="H164" i="5"/>
  <c r="I164" i="5"/>
  <c r="E164" i="5"/>
  <c r="L164" i="5"/>
  <c r="F164" i="5"/>
  <c r="D164" i="5"/>
  <c r="K164" i="5"/>
  <c r="G164" i="5"/>
  <c r="M164" i="5"/>
  <c r="N164" i="5"/>
  <c r="J164" i="5"/>
  <c r="I133" i="5"/>
  <c r="H133" i="5"/>
  <c r="D133" i="5"/>
  <c r="L133" i="5"/>
  <c r="K133" i="5"/>
  <c r="F133" i="5"/>
  <c r="M133" i="5"/>
  <c r="J133" i="5"/>
  <c r="N133" i="5"/>
  <c r="G133" i="5"/>
  <c r="E133" i="5"/>
  <c r="T243" i="5"/>
  <c r="U243" i="5" s="1"/>
  <c r="V243" i="5" s="1"/>
  <c r="G217" i="5"/>
  <c r="F217" i="5"/>
  <c r="H217" i="5"/>
  <c r="I217" i="5"/>
  <c r="N217" i="5"/>
  <c r="M217" i="5"/>
  <c r="L217" i="5"/>
  <c r="K217" i="5"/>
  <c r="E217" i="5"/>
  <c r="J217" i="5"/>
  <c r="D217" i="5"/>
  <c r="C217" i="2"/>
  <c r="I133" i="2"/>
  <c r="D133" i="2"/>
  <c r="F133" i="2"/>
  <c r="H133" i="2"/>
  <c r="L133" i="2"/>
  <c r="M133" i="2"/>
  <c r="G133" i="2"/>
  <c r="K133" i="2"/>
  <c r="E133" i="2"/>
  <c r="N133" i="2"/>
  <c r="J133" i="2"/>
  <c r="C133" i="2"/>
  <c r="D164" i="2"/>
  <c r="I164" i="2"/>
  <c r="J164" i="2"/>
  <c r="E164" i="2"/>
  <c r="M164" i="2"/>
  <c r="L164" i="2"/>
  <c r="F164" i="2"/>
  <c r="N164" i="2"/>
  <c r="K164" i="2"/>
  <c r="G164" i="2"/>
  <c r="H164" i="2"/>
  <c r="T243" i="2"/>
  <c r="U243" i="2" s="1"/>
  <c r="V243" i="2" s="1"/>
  <c r="J217" i="2"/>
  <c r="I217" i="2"/>
  <c r="K217" i="2"/>
  <c r="F217" i="2"/>
  <c r="H217" i="2"/>
  <c r="M217" i="2"/>
  <c r="N217" i="2"/>
  <c r="G217" i="2"/>
  <c r="E217" i="2"/>
  <c r="L217" i="2"/>
  <c r="D217" i="2"/>
  <c r="C164" i="2"/>
  <c r="H161" i="1"/>
  <c r="N162" i="1"/>
  <c r="G162" i="1"/>
  <c r="E129" i="1"/>
  <c r="M129" i="1"/>
  <c r="I130" i="1"/>
  <c r="E131" i="1"/>
  <c r="M131" i="1"/>
  <c r="I129" i="1"/>
  <c r="E130" i="1"/>
  <c r="M130" i="1"/>
  <c r="I131" i="1"/>
  <c r="F160" i="1"/>
  <c r="J160" i="1"/>
  <c r="N160" i="1"/>
  <c r="F162" i="1"/>
  <c r="J162" i="1"/>
  <c r="F129" i="1"/>
  <c r="N129" i="1"/>
  <c r="J130" i="1"/>
  <c r="F131" i="1"/>
  <c r="N131" i="1"/>
  <c r="J129" i="1"/>
  <c r="N130" i="1"/>
  <c r="K162" i="1"/>
  <c r="G160" i="1"/>
  <c r="D161" i="1"/>
  <c r="L161" i="1"/>
  <c r="G129" i="1"/>
  <c r="K129" i="1"/>
  <c r="R129" i="1" s="1"/>
  <c r="C130" i="1"/>
  <c r="G130" i="1"/>
  <c r="Q130" i="1" s="1"/>
  <c r="K130" i="1"/>
  <c r="R130" i="1" s="1"/>
  <c r="C131" i="1"/>
  <c r="G131" i="1"/>
  <c r="K131" i="1"/>
  <c r="R131" i="1" s="1"/>
  <c r="E160" i="1"/>
  <c r="I160" i="1"/>
  <c r="M160" i="1"/>
  <c r="E162" i="1"/>
  <c r="I162" i="1"/>
  <c r="M162" i="1"/>
  <c r="C162" i="1"/>
  <c r="K160" i="1"/>
  <c r="F161" i="1"/>
  <c r="J161" i="1"/>
  <c r="N161" i="1"/>
  <c r="D162" i="1"/>
  <c r="H162" i="1"/>
  <c r="L162" i="1"/>
  <c r="D160" i="1"/>
  <c r="H160" i="1"/>
  <c r="L160" i="1"/>
  <c r="C161" i="1"/>
  <c r="G161" i="1"/>
  <c r="Q161" i="1" s="1"/>
  <c r="K161" i="1"/>
  <c r="E161" i="1"/>
  <c r="I161" i="1"/>
  <c r="M161" i="1"/>
  <c r="R161" i="1" l="1"/>
  <c r="W212" i="2"/>
  <c r="G120" i="20" s="1"/>
  <c r="W212" i="5"/>
  <c r="H120" i="20" s="1"/>
  <c r="Q131" i="1"/>
  <c r="T217" i="5"/>
  <c r="T217" i="2"/>
  <c r="Q129" i="1"/>
  <c r="R162" i="1"/>
  <c r="T164" i="2"/>
  <c r="T133" i="2"/>
  <c r="Q160" i="1"/>
  <c r="T162" i="1"/>
  <c r="O167" i="1" s="1"/>
  <c r="T130" i="1"/>
  <c r="O135" i="1" s="1"/>
  <c r="Q162" i="1"/>
  <c r="R160" i="1"/>
  <c r="T161" i="1"/>
  <c r="O166" i="1" s="1"/>
  <c r="T131" i="1"/>
  <c r="O136" i="1" s="1"/>
  <c r="T164" i="5"/>
  <c r="T133" i="5"/>
  <c r="H132" i="20"/>
  <c r="H126" i="20"/>
  <c r="G132" i="20"/>
  <c r="G126" i="20"/>
  <c r="R135" i="1" l="1"/>
  <c r="R136" i="1"/>
  <c r="Q167" i="1"/>
  <c r="Q135" i="1"/>
  <c r="Q166" i="1"/>
  <c r="R167" i="1"/>
  <c r="Q136" i="1"/>
  <c r="R166" i="1"/>
  <c r="G136" i="1"/>
  <c r="E141" i="20"/>
  <c r="N166" i="1"/>
  <c r="E146" i="20"/>
  <c r="K135" i="1"/>
  <c r="E140" i="20"/>
  <c r="M167" i="1"/>
  <c r="E147" i="20"/>
  <c r="E166" i="1"/>
  <c r="C136" i="1"/>
  <c r="C167" i="1"/>
  <c r="N167" i="1"/>
  <c r="J167" i="1"/>
  <c r="G135" i="1"/>
  <c r="K166" i="1"/>
  <c r="H166" i="1"/>
  <c r="I166" i="1"/>
  <c r="C135" i="1"/>
  <c r="L136" i="1"/>
  <c r="J136" i="1"/>
  <c r="E136" i="1"/>
  <c r="M136" i="1"/>
  <c r="F136" i="1"/>
  <c r="D136" i="1"/>
  <c r="N136" i="1"/>
  <c r="I136" i="1"/>
  <c r="H136" i="1"/>
  <c r="F167" i="1"/>
  <c r="H167" i="1"/>
  <c r="L167" i="1"/>
  <c r="D167" i="1"/>
  <c r="I167" i="1"/>
  <c r="G167" i="1"/>
  <c r="E167" i="1"/>
  <c r="K167" i="1"/>
  <c r="H135" i="1"/>
  <c r="J135" i="1"/>
  <c r="E135" i="1"/>
  <c r="L135" i="1"/>
  <c r="M135" i="1"/>
  <c r="F135" i="1"/>
  <c r="D135" i="1"/>
  <c r="N135" i="1"/>
  <c r="I135" i="1"/>
  <c r="K136" i="1"/>
  <c r="D166" i="1"/>
  <c r="J166" i="1"/>
  <c r="M166" i="1"/>
  <c r="F166" i="1"/>
  <c r="C166" i="1"/>
  <c r="L166" i="1"/>
  <c r="G166" i="1"/>
  <c r="T167" i="1" l="1"/>
  <c r="T166" i="1"/>
  <c r="T135" i="1"/>
  <c r="T136" i="1"/>
  <c r="N80" i="1"/>
  <c r="M80" i="1"/>
  <c r="L80" i="1"/>
  <c r="K80" i="1"/>
  <c r="J80" i="1"/>
  <c r="I80" i="1"/>
  <c r="H80" i="1"/>
  <c r="G80" i="1"/>
  <c r="F80" i="1"/>
  <c r="E80" i="1"/>
  <c r="D80" i="1"/>
  <c r="C80" i="1"/>
  <c r="N79" i="1"/>
  <c r="M79" i="1"/>
  <c r="L79" i="1"/>
  <c r="K79" i="1"/>
  <c r="J79" i="1"/>
  <c r="I79" i="1"/>
  <c r="H79" i="1"/>
  <c r="G79" i="1"/>
  <c r="F79" i="1"/>
  <c r="E79" i="1"/>
  <c r="D79" i="1"/>
  <c r="C79" i="1"/>
  <c r="N78" i="1"/>
  <c r="M78" i="1"/>
  <c r="L78" i="1"/>
  <c r="K78" i="1"/>
  <c r="J78" i="1"/>
  <c r="I78" i="1"/>
  <c r="H78" i="1"/>
  <c r="G78" i="1"/>
  <c r="F78" i="1"/>
  <c r="E78" i="1"/>
  <c r="D78" i="1"/>
  <c r="C78" i="1"/>
  <c r="N74" i="1"/>
  <c r="M74" i="1"/>
  <c r="L74" i="1"/>
  <c r="K74" i="1"/>
  <c r="J74" i="1"/>
  <c r="I74" i="1"/>
  <c r="H74" i="1"/>
  <c r="G74" i="1"/>
  <c r="F74" i="1"/>
  <c r="E74" i="1"/>
  <c r="D74" i="1"/>
  <c r="C74" i="1"/>
  <c r="N73" i="1"/>
  <c r="M73" i="1"/>
  <c r="L73" i="1"/>
  <c r="K73" i="1"/>
  <c r="J73" i="1"/>
  <c r="I73" i="1"/>
  <c r="H73" i="1"/>
  <c r="G73" i="1"/>
  <c r="F73" i="1"/>
  <c r="E73" i="1"/>
  <c r="D73" i="1"/>
  <c r="C73" i="1"/>
  <c r="N72" i="1"/>
  <c r="M72" i="1"/>
  <c r="L72" i="1"/>
  <c r="K72" i="1"/>
  <c r="J72" i="1"/>
  <c r="I72" i="1"/>
  <c r="H72" i="1"/>
  <c r="G72" i="1"/>
  <c r="F72" i="1"/>
  <c r="E72" i="1"/>
  <c r="D72" i="1"/>
  <c r="C72" i="1"/>
  <c r="E77" i="1" l="1"/>
  <c r="E122" i="1"/>
  <c r="E153" i="1"/>
  <c r="I77" i="1"/>
  <c r="I122" i="1"/>
  <c r="I153" i="1"/>
  <c r="M77" i="1"/>
  <c r="M122" i="1"/>
  <c r="M153" i="1"/>
  <c r="F186" i="1"/>
  <c r="F231" i="1" s="1"/>
  <c r="F147" i="1"/>
  <c r="F116" i="1"/>
  <c r="J186" i="1"/>
  <c r="J231" i="1" s="1"/>
  <c r="J147" i="1"/>
  <c r="J116" i="1"/>
  <c r="N186" i="1"/>
  <c r="N147" i="1"/>
  <c r="N116" i="1"/>
  <c r="F122" i="1"/>
  <c r="F153" i="1"/>
  <c r="J122" i="1"/>
  <c r="J153" i="1"/>
  <c r="N122" i="1"/>
  <c r="N153" i="1"/>
  <c r="C186" i="1"/>
  <c r="C147" i="1"/>
  <c r="C116" i="1"/>
  <c r="G147" i="1"/>
  <c r="G116" i="1"/>
  <c r="K186" i="1"/>
  <c r="K147" i="1"/>
  <c r="K116" i="1"/>
  <c r="F77" i="1"/>
  <c r="C77" i="1"/>
  <c r="C122" i="1"/>
  <c r="C153" i="1"/>
  <c r="G77" i="1"/>
  <c r="G122" i="1"/>
  <c r="G153" i="1"/>
  <c r="K122" i="1"/>
  <c r="K153" i="1"/>
  <c r="D186" i="1"/>
  <c r="D231" i="1" s="1"/>
  <c r="D116" i="1"/>
  <c r="D147" i="1"/>
  <c r="H186" i="1"/>
  <c r="H231" i="1" s="1"/>
  <c r="H116" i="1"/>
  <c r="H147" i="1"/>
  <c r="L186" i="1"/>
  <c r="L231" i="1" s="1"/>
  <c r="L116" i="1"/>
  <c r="L147" i="1"/>
  <c r="J77" i="1"/>
  <c r="D77" i="1"/>
  <c r="D122" i="1"/>
  <c r="D153" i="1"/>
  <c r="H77" i="1"/>
  <c r="H122" i="1"/>
  <c r="H153" i="1"/>
  <c r="L77" i="1"/>
  <c r="L122" i="1"/>
  <c r="L153" i="1"/>
  <c r="E186" i="1"/>
  <c r="E231" i="1" s="1"/>
  <c r="E116" i="1"/>
  <c r="E147" i="1"/>
  <c r="I186" i="1"/>
  <c r="I231" i="1" s="1"/>
  <c r="I116" i="1"/>
  <c r="I147" i="1"/>
  <c r="M186" i="1"/>
  <c r="M231" i="1" s="1"/>
  <c r="M116" i="1"/>
  <c r="M147" i="1"/>
  <c r="N77" i="1"/>
  <c r="H71" i="1"/>
  <c r="E71" i="1"/>
  <c r="I71" i="1"/>
  <c r="M71" i="1"/>
  <c r="D71" i="1"/>
  <c r="L71" i="1"/>
  <c r="N71" i="1"/>
  <c r="F71" i="1"/>
  <c r="J71" i="1"/>
  <c r="C71" i="1"/>
  <c r="G71" i="1"/>
  <c r="K71" i="1"/>
  <c r="K77" i="1"/>
  <c r="N55" i="1"/>
  <c r="M55" i="1"/>
  <c r="L55" i="1"/>
  <c r="K55" i="1"/>
  <c r="J55" i="1"/>
  <c r="I55" i="1"/>
  <c r="H55" i="1"/>
  <c r="G55" i="1"/>
  <c r="F55" i="1"/>
  <c r="E55" i="1"/>
  <c r="D55" i="1"/>
  <c r="C55" i="1"/>
  <c r="N54" i="1"/>
  <c r="M54" i="1"/>
  <c r="L54" i="1"/>
  <c r="K54" i="1"/>
  <c r="J54" i="1"/>
  <c r="I54" i="1"/>
  <c r="H54" i="1"/>
  <c r="G54" i="1"/>
  <c r="F54" i="1"/>
  <c r="E54" i="1"/>
  <c r="D54" i="1"/>
  <c r="C54" i="1"/>
  <c r="N53" i="1"/>
  <c r="M53" i="1"/>
  <c r="L53" i="1"/>
  <c r="K53" i="1"/>
  <c r="J53" i="1"/>
  <c r="I53" i="1"/>
  <c r="H53" i="1"/>
  <c r="G53" i="1"/>
  <c r="F53" i="1"/>
  <c r="E53" i="1"/>
  <c r="D53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E270" i="1" l="1"/>
  <c r="E258" i="1"/>
  <c r="M271" i="1"/>
  <c r="M259" i="1"/>
  <c r="J270" i="1"/>
  <c r="J258" i="1"/>
  <c r="J271" i="1"/>
  <c r="J259" i="1"/>
  <c r="J272" i="1"/>
  <c r="J260" i="1"/>
  <c r="G258" i="1"/>
  <c r="G270" i="1"/>
  <c r="K259" i="1"/>
  <c r="K271" i="1"/>
  <c r="G260" i="1"/>
  <c r="G272" i="1"/>
  <c r="K260" i="1"/>
  <c r="K272" i="1"/>
  <c r="I258" i="1"/>
  <c r="I270" i="1"/>
  <c r="M270" i="1"/>
  <c r="M258" i="1"/>
  <c r="E271" i="1"/>
  <c r="E259" i="1"/>
  <c r="I271" i="1"/>
  <c r="I259" i="1"/>
  <c r="E272" i="1"/>
  <c r="E260" i="1"/>
  <c r="I260" i="1"/>
  <c r="I272" i="1"/>
  <c r="M260" i="1"/>
  <c r="M272" i="1"/>
  <c r="F270" i="1"/>
  <c r="F258" i="1"/>
  <c r="N270" i="1"/>
  <c r="N258" i="1"/>
  <c r="F271" i="1"/>
  <c r="F259" i="1"/>
  <c r="N271" i="1"/>
  <c r="N259" i="1"/>
  <c r="F272" i="1"/>
  <c r="F260" i="1"/>
  <c r="N272" i="1"/>
  <c r="N260" i="1"/>
  <c r="K270" i="1"/>
  <c r="K258" i="1"/>
  <c r="C271" i="1"/>
  <c r="C259" i="1"/>
  <c r="G259" i="1"/>
  <c r="G271" i="1"/>
  <c r="C272" i="1"/>
  <c r="C260" i="1"/>
  <c r="D270" i="1"/>
  <c r="D258" i="1"/>
  <c r="H270" i="1"/>
  <c r="H258" i="1"/>
  <c r="L258" i="1"/>
  <c r="L270" i="1"/>
  <c r="D271" i="1"/>
  <c r="D259" i="1"/>
  <c r="H271" i="1"/>
  <c r="H259" i="1"/>
  <c r="L271" i="1"/>
  <c r="L259" i="1"/>
  <c r="D272" i="1"/>
  <c r="D260" i="1"/>
  <c r="H272" i="1"/>
  <c r="H260" i="1"/>
  <c r="L260" i="1"/>
  <c r="L272" i="1"/>
  <c r="D97" i="1"/>
  <c r="D103" i="1" s="1"/>
  <c r="H97" i="1"/>
  <c r="H103" i="1" s="1"/>
  <c r="L97" i="1"/>
  <c r="L103" i="1" s="1"/>
  <c r="D98" i="1"/>
  <c r="D104" i="1" s="1"/>
  <c r="H98" i="1"/>
  <c r="H104" i="1" s="1"/>
  <c r="L98" i="1"/>
  <c r="L104" i="1" s="1"/>
  <c r="D99" i="1"/>
  <c r="D105" i="1" s="1"/>
  <c r="H99" i="1"/>
  <c r="H105" i="1" s="1"/>
  <c r="L99" i="1"/>
  <c r="L105" i="1" s="1"/>
  <c r="E97" i="1"/>
  <c r="E103" i="1" s="1"/>
  <c r="I97" i="1"/>
  <c r="I103" i="1" s="1"/>
  <c r="M97" i="1"/>
  <c r="M103" i="1" s="1"/>
  <c r="E98" i="1"/>
  <c r="E104" i="1" s="1"/>
  <c r="I98" i="1"/>
  <c r="I104" i="1" s="1"/>
  <c r="M98" i="1"/>
  <c r="M104" i="1" s="1"/>
  <c r="E99" i="1"/>
  <c r="E105" i="1" s="1"/>
  <c r="I99" i="1"/>
  <c r="I105" i="1" s="1"/>
  <c r="M99" i="1"/>
  <c r="M105" i="1" s="1"/>
  <c r="F97" i="1"/>
  <c r="F103" i="1" s="1"/>
  <c r="J97" i="1"/>
  <c r="J103" i="1" s="1"/>
  <c r="N97" i="1"/>
  <c r="N103" i="1" s="1"/>
  <c r="F98" i="1"/>
  <c r="F104" i="1" s="1"/>
  <c r="J98" i="1"/>
  <c r="J104" i="1" s="1"/>
  <c r="N98" i="1"/>
  <c r="N104" i="1" s="1"/>
  <c r="F99" i="1"/>
  <c r="F105" i="1" s="1"/>
  <c r="J99" i="1"/>
  <c r="J105" i="1" s="1"/>
  <c r="N99" i="1"/>
  <c r="N105" i="1" s="1"/>
  <c r="R122" i="1"/>
  <c r="Q116" i="1"/>
  <c r="Q122" i="1"/>
  <c r="R153" i="1"/>
  <c r="T22" i="1"/>
  <c r="Q22" i="1"/>
  <c r="Q27" i="1" s="1"/>
  <c r="R22" i="1"/>
  <c r="T23" i="1"/>
  <c r="Q23" i="1"/>
  <c r="R23" i="1"/>
  <c r="T24" i="1"/>
  <c r="O29" i="1" s="1"/>
  <c r="Q24" i="1"/>
  <c r="Q29" i="1" s="1"/>
  <c r="R24" i="1"/>
  <c r="T25" i="1"/>
  <c r="O30" i="1" s="1"/>
  <c r="Q25" i="1"/>
  <c r="R25" i="1"/>
  <c r="R30" i="1" s="1"/>
  <c r="T186" i="1"/>
  <c r="T231" i="1" s="1"/>
  <c r="T153" i="1"/>
  <c r="R116" i="1"/>
  <c r="Q147" i="1"/>
  <c r="N231" i="1"/>
  <c r="Q186" i="1"/>
  <c r="G97" i="1"/>
  <c r="G103" i="1" s="1"/>
  <c r="Q53" i="1"/>
  <c r="K97" i="1"/>
  <c r="K103" i="1" s="1"/>
  <c r="R53" i="1"/>
  <c r="T54" i="1"/>
  <c r="O59" i="1" s="1"/>
  <c r="G98" i="1"/>
  <c r="G104" i="1" s="1"/>
  <c r="Q54" i="1"/>
  <c r="K98" i="1"/>
  <c r="K104" i="1" s="1"/>
  <c r="R54" i="1"/>
  <c r="T55" i="1"/>
  <c r="O60" i="1" s="1"/>
  <c r="Q55" i="1"/>
  <c r="K99" i="1"/>
  <c r="K105" i="1" s="1"/>
  <c r="R55" i="1"/>
  <c r="Q153" i="1"/>
  <c r="T122" i="1"/>
  <c r="R147" i="1"/>
  <c r="T116" i="1"/>
  <c r="R186" i="1"/>
  <c r="T147" i="1"/>
  <c r="A22" i="1"/>
  <c r="A23" i="1"/>
  <c r="A24" i="1"/>
  <c r="A25" i="1"/>
  <c r="C99" i="1"/>
  <c r="C105" i="1" s="1"/>
  <c r="A55" i="1"/>
  <c r="G99" i="1"/>
  <c r="G105" i="1" s="1"/>
  <c r="W55" i="1"/>
  <c r="X55" i="1" s="1"/>
  <c r="C98" i="1"/>
  <c r="C104" i="1" s="1"/>
  <c r="A54" i="1"/>
  <c r="D85" i="1"/>
  <c r="G231" i="1"/>
  <c r="K231" i="1"/>
  <c r="C231" i="1"/>
  <c r="F84" i="1"/>
  <c r="J84" i="1"/>
  <c r="N84" i="1"/>
  <c r="F85" i="1"/>
  <c r="J85" i="1"/>
  <c r="N85" i="1"/>
  <c r="F86" i="1"/>
  <c r="J86" i="1"/>
  <c r="N86" i="1"/>
  <c r="G84" i="1"/>
  <c r="K84" i="1"/>
  <c r="C85" i="1"/>
  <c r="W54" i="1"/>
  <c r="X54" i="1" s="1"/>
  <c r="G85" i="1"/>
  <c r="K85" i="1"/>
  <c r="C86" i="1"/>
  <c r="G86" i="1"/>
  <c r="K86" i="1"/>
  <c r="D84" i="1"/>
  <c r="H84" i="1"/>
  <c r="L84" i="1"/>
  <c r="H85" i="1"/>
  <c r="L85" i="1"/>
  <c r="D86" i="1"/>
  <c r="H86" i="1"/>
  <c r="L86" i="1"/>
  <c r="E84" i="1"/>
  <c r="I84" i="1"/>
  <c r="M84" i="1"/>
  <c r="E85" i="1"/>
  <c r="I85" i="1"/>
  <c r="M85" i="1"/>
  <c r="E86" i="1"/>
  <c r="I86" i="1"/>
  <c r="M86" i="1"/>
  <c r="W53" i="1"/>
  <c r="X53" i="1" s="1"/>
  <c r="E84" i="20"/>
  <c r="E86" i="20"/>
  <c r="H278" i="1" l="1"/>
  <c r="L277" i="1"/>
  <c r="D277" i="1"/>
  <c r="H276" i="1"/>
  <c r="N278" i="1"/>
  <c r="N277" i="1"/>
  <c r="N276" i="1"/>
  <c r="E278" i="1"/>
  <c r="E277" i="1"/>
  <c r="J277" i="1"/>
  <c r="M277" i="1"/>
  <c r="L278" i="1"/>
  <c r="L276" i="1"/>
  <c r="I278" i="1"/>
  <c r="R270" i="1"/>
  <c r="Q272" i="1"/>
  <c r="Q270" i="1"/>
  <c r="R29" i="1"/>
  <c r="Q271" i="1"/>
  <c r="T272" i="1"/>
  <c r="T271" i="1"/>
  <c r="M278" i="1"/>
  <c r="I276" i="1"/>
  <c r="Q260" i="1"/>
  <c r="G278" i="1"/>
  <c r="Q278" i="1" s="1"/>
  <c r="Q258" i="1"/>
  <c r="G276" i="1"/>
  <c r="Q276" i="1" s="1"/>
  <c r="Q259" i="1"/>
  <c r="G277" i="1"/>
  <c r="R260" i="1"/>
  <c r="K278" i="1"/>
  <c r="R259" i="1"/>
  <c r="K277" i="1"/>
  <c r="T260" i="1"/>
  <c r="C278" i="1"/>
  <c r="C277" i="1"/>
  <c r="T259" i="1"/>
  <c r="D278" i="1"/>
  <c r="H277" i="1"/>
  <c r="D276" i="1"/>
  <c r="R258" i="1"/>
  <c r="K276" i="1"/>
  <c r="F278" i="1"/>
  <c r="F277" i="1"/>
  <c r="F276" i="1"/>
  <c r="I277" i="1"/>
  <c r="M276" i="1"/>
  <c r="R272" i="1"/>
  <c r="R271" i="1"/>
  <c r="J278" i="1"/>
  <c r="J276" i="1"/>
  <c r="E276" i="1"/>
  <c r="E87" i="20"/>
  <c r="E93" i="20"/>
  <c r="E92" i="20"/>
  <c r="R28" i="1"/>
  <c r="O28" i="1"/>
  <c r="E85" i="20"/>
  <c r="Q30" i="1"/>
  <c r="Q28" i="1"/>
  <c r="R27" i="1"/>
  <c r="O27" i="1"/>
  <c r="Q84" i="1"/>
  <c r="R86" i="1"/>
  <c r="R60" i="1"/>
  <c r="R85" i="1"/>
  <c r="R59" i="1"/>
  <c r="Q86" i="1"/>
  <c r="Q60" i="1"/>
  <c r="Q85" i="1"/>
  <c r="Q59" i="1"/>
  <c r="R84" i="1"/>
  <c r="E98" i="20"/>
  <c r="E99" i="20"/>
  <c r="R277" i="1" l="1"/>
  <c r="Q277" i="1"/>
  <c r="R278" i="1"/>
  <c r="R276" i="1"/>
  <c r="T277" i="1"/>
  <c r="E152" i="20" s="1"/>
  <c r="T278" i="1"/>
  <c r="E153" i="20" s="1"/>
  <c r="N207" i="1"/>
  <c r="N238" i="1" s="1"/>
  <c r="N208" i="1"/>
  <c r="N239" i="1" s="1"/>
  <c r="N209" i="1"/>
  <c r="N240" i="1" s="1"/>
  <c r="E207" i="1"/>
  <c r="E238" i="1" s="1"/>
  <c r="E208" i="1"/>
  <c r="E239" i="1" s="1"/>
  <c r="E209" i="1"/>
  <c r="E240" i="1" s="1"/>
  <c r="C68" i="1" l="1"/>
  <c r="D179" i="1" l="1"/>
  <c r="D68" i="1"/>
  <c r="D141" i="1" l="1"/>
  <c r="D159" i="1" s="1"/>
  <c r="D110" i="1"/>
  <c r="D128" i="1" s="1"/>
  <c r="D228" i="1"/>
  <c r="D176" i="1"/>
  <c r="D52" i="1"/>
  <c r="D237" i="1"/>
  <c r="D67" i="1"/>
  <c r="D178" i="1"/>
  <c r="D66" i="1"/>
  <c r="D177" i="1"/>
  <c r="D65" i="1"/>
  <c r="D257" i="1" l="1"/>
  <c r="D269" i="1"/>
  <c r="D96" i="1"/>
  <c r="D102" i="1" s="1"/>
  <c r="D227" i="1"/>
  <c r="D225" i="1"/>
  <c r="D212" i="1"/>
  <c r="D226" i="1"/>
  <c r="D83" i="1"/>
  <c r="D275" i="1" l="1"/>
  <c r="D243" i="1"/>
  <c r="M209" i="1"/>
  <c r="M240" i="1" s="1"/>
  <c r="L209" i="1"/>
  <c r="L240" i="1" s="1"/>
  <c r="K209" i="1"/>
  <c r="J209" i="1"/>
  <c r="J240" i="1" s="1"/>
  <c r="I209" i="1"/>
  <c r="I240" i="1" s="1"/>
  <c r="H209" i="1"/>
  <c r="H240" i="1" s="1"/>
  <c r="G209" i="1"/>
  <c r="F209" i="1"/>
  <c r="F240" i="1" s="1"/>
  <c r="M208" i="1"/>
  <c r="M239" i="1" s="1"/>
  <c r="L208" i="1"/>
  <c r="L239" i="1" s="1"/>
  <c r="K208" i="1"/>
  <c r="J208" i="1"/>
  <c r="J239" i="1" s="1"/>
  <c r="I208" i="1"/>
  <c r="I239" i="1" s="1"/>
  <c r="H208" i="1"/>
  <c r="H239" i="1" s="1"/>
  <c r="G208" i="1"/>
  <c r="F208" i="1"/>
  <c r="F239" i="1" s="1"/>
  <c r="M207" i="1"/>
  <c r="M238" i="1" s="1"/>
  <c r="L207" i="1"/>
  <c r="L238" i="1" s="1"/>
  <c r="K207" i="1"/>
  <c r="J207" i="1"/>
  <c r="J238" i="1" s="1"/>
  <c r="I207" i="1"/>
  <c r="I238" i="1" s="1"/>
  <c r="H207" i="1"/>
  <c r="H238" i="1" s="1"/>
  <c r="G207" i="1"/>
  <c r="F207" i="1"/>
  <c r="F238" i="1" s="1"/>
  <c r="C209" i="1"/>
  <c r="C208" i="1"/>
  <c r="C207" i="1"/>
  <c r="C238" i="1" l="1"/>
  <c r="G238" i="1"/>
  <c r="Q207" i="1"/>
  <c r="K238" i="1"/>
  <c r="R207" i="1"/>
  <c r="G239" i="1"/>
  <c r="Q208" i="1"/>
  <c r="K239" i="1"/>
  <c r="R208" i="1"/>
  <c r="G240" i="1"/>
  <c r="Q209" i="1"/>
  <c r="K240" i="1"/>
  <c r="R209" i="1"/>
  <c r="C239" i="1"/>
  <c r="C240" i="1"/>
  <c r="N179" i="1" l="1"/>
  <c r="M179" i="1"/>
  <c r="L179" i="1"/>
  <c r="K179" i="1"/>
  <c r="J179" i="1"/>
  <c r="I179" i="1"/>
  <c r="H179" i="1"/>
  <c r="G179" i="1"/>
  <c r="F179" i="1"/>
  <c r="E179" i="1"/>
  <c r="C179" i="1"/>
  <c r="A209" i="1" s="1"/>
  <c r="N178" i="1"/>
  <c r="M178" i="1"/>
  <c r="L178" i="1"/>
  <c r="K178" i="1"/>
  <c r="J178" i="1"/>
  <c r="I178" i="1"/>
  <c r="H178" i="1"/>
  <c r="G178" i="1"/>
  <c r="F178" i="1"/>
  <c r="E178" i="1"/>
  <c r="C178" i="1"/>
  <c r="A208" i="1" s="1"/>
  <c r="N177" i="1"/>
  <c r="M177" i="1"/>
  <c r="L177" i="1"/>
  <c r="K177" i="1"/>
  <c r="J177" i="1"/>
  <c r="I177" i="1"/>
  <c r="H177" i="1"/>
  <c r="G177" i="1"/>
  <c r="F177" i="1"/>
  <c r="E177" i="1"/>
  <c r="R178" i="1" l="1"/>
  <c r="R179" i="1"/>
  <c r="Q177" i="1"/>
  <c r="Q178" i="1"/>
  <c r="T179" i="1"/>
  <c r="Q179" i="1"/>
  <c r="R177" i="1"/>
  <c r="T178" i="1"/>
  <c r="F226" i="1"/>
  <c r="F213" i="1"/>
  <c r="J226" i="1"/>
  <c r="J213" i="1"/>
  <c r="N213" i="1"/>
  <c r="N226" i="1"/>
  <c r="G214" i="1"/>
  <c r="G227" i="1"/>
  <c r="K214" i="1"/>
  <c r="K227" i="1"/>
  <c r="C215" i="1"/>
  <c r="C228" i="1"/>
  <c r="H228" i="1"/>
  <c r="H215" i="1"/>
  <c r="L228" i="1"/>
  <c r="L215" i="1"/>
  <c r="G213" i="1"/>
  <c r="G226" i="1"/>
  <c r="K213" i="1"/>
  <c r="K226" i="1"/>
  <c r="C214" i="1"/>
  <c r="C227" i="1"/>
  <c r="H227" i="1"/>
  <c r="H214" i="1"/>
  <c r="L227" i="1"/>
  <c r="L214" i="1"/>
  <c r="E228" i="1"/>
  <c r="E215" i="1"/>
  <c r="I215" i="1"/>
  <c r="I228" i="1"/>
  <c r="M228" i="1"/>
  <c r="M215" i="1"/>
  <c r="H226" i="1"/>
  <c r="H213" i="1"/>
  <c r="L226" i="1"/>
  <c r="L213" i="1"/>
  <c r="E214" i="1"/>
  <c r="E227" i="1"/>
  <c r="I227" i="1"/>
  <c r="I214" i="1"/>
  <c r="M214" i="1"/>
  <c r="M227" i="1"/>
  <c r="F215" i="1"/>
  <c r="F228" i="1"/>
  <c r="J228" i="1"/>
  <c r="J215" i="1"/>
  <c r="N215" i="1"/>
  <c r="N228" i="1"/>
  <c r="E226" i="1"/>
  <c r="E213" i="1"/>
  <c r="I213" i="1"/>
  <c r="I226" i="1"/>
  <c r="M226" i="1"/>
  <c r="M213" i="1"/>
  <c r="F214" i="1"/>
  <c r="F227" i="1"/>
  <c r="J227" i="1"/>
  <c r="J214" i="1"/>
  <c r="N227" i="1"/>
  <c r="N214" i="1"/>
  <c r="G215" i="1"/>
  <c r="G228" i="1"/>
  <c r="K215" i="1"/>
  <c r="K228" i="1"/>
  <c r="L244" i="1" l="1"/>
  <c r="L246" i="1"/>
  <c r="F245" i="1"/>
  <c r="I244" i="1"/>
  <c r="N246" i="1"/>
  <c r="F246" i="1"/>
  <c r="K244" i="1"/>
  <c r="G245" i="1"/>
  <c r="M246" i="1"/>
  <c r="H245" i="1"/>
  <c r="K246" i="1"/>
  <c r="J245" i="1"/>
  <c r="M244" i="1"/>
  <c r="E244" i="1"/>
  <c r="J246" i="1"/>
  <c r="H244" i="1"/>
  <c r="L245" i="1"/>
  <c r="H246" i="1"/>
  <c r="F244" i="1"/>
  <c r="N245" i="1"/>
  <c r="I245" i="1"/>
  <c r="E246" i="1"/>
  <c r="J244" i="1"/>
  <c r="G246" i="1"/>
  <c r="M245" i="1"/>
  <c r="E245" i="1"/>
  <c r="I246" i="1"/>
  <c r="G244" i="1"/>
  <c r="K245" i="1"/>
  <c r="N244" i="1"/>
  <c r="C246" i="1"/>
  <c r="C245" i="1"/>
  <c r="Q213" i="1"/>
  <c r="Q215" i="1"/>
  <c r="Q214" i="1"/>
  <c r="R215" i="1"/>
  <c r="R214" i="1"/>
  <c r="R213" i="1"/>
  <c r="C206" i="1" l="1"/>
  <c r="M206" i="1"/>
  <c r="M237" i="1" s="1"/>
  <c r="L206" i="1"/>
  <c r="L237" i="1" s="1"/>
  <c r="K206" i="1"/>
  <c r="J206" i="1"/>
  <c r="J237" i="1" s="1"/>
  <c r="I206" i="1"/>
  <c r="I237" i="1" s="1"/>
  <c r="H206" i="1"/>
  <c r="H237" i="1" s="1"/>
  <c r="G206" i="1"/>
  <c r="F206" i="1"/>
  <c r="F237" i="1" s="1"/>
  <c r="R206" i="1" l="1"/>
  <c r="E110" i="1"/>
  <c r="E128" i="1" s="1"/>
  <c r="E141" i="1"/>
  <c r="E159" i="1" s="1"/>
  <c r="I110" i="1"/>
  <c r="I128" i="1" s="1"/>
  <c r="I141" i="1"/>
  <c r="I159" i="1" s="1"/>
  <c r="M110" i="1"/>
  <c r="M128" i="1" s="1"/>
  <c r="M141" i="1"/>
  <c r="M159" i="1" s="1"/>
  <c r="F141" i="1"/>
  <c r="F159" i="1" s="1"/>
  <c r="F110" i="1"/>
  <c r="F128" i="1" s="1"/>
  <c r="J141" i="1"/>
  <c r="J159" i="1" s="1"/>
  <c r="J110" i="1"/>
  <c r="J128" i="1" s="1"/>
  <c r="N141" i="1"/>
  <c r="N159" i="1" s="1"/>
  <c r="N110" i="1"/>
  <c r="N128" i="1" s="1"/>
  <c r="G141" i="1"/>
  <c r="G110" i="1"/>
  <c r="K141" i="1"/>
  <c r="K110" i="1"/>
  <c r="C237" i="1"/>
  <c r="H141" i="1"/>
  <c r="H159" i="1" s="1"/>
  <c r="H110" i="1"/>
  <c r="H128" i="1" s="1"/>
  <c r="L141" i="1"/>
  <c r="L159" i="1" s="1"/>
  <c r="L110" i="1"/>
  <c r="L128" i="1" s="1"/>
  <c r="G237" i="1"/>
  <c r="K237" i="1"/>
  <c r="H52" i="1"/>
  <c r="L52" i="1"/>
  <c r="I52" i="1"/>
  <c r="M52" i="1"/>
  <c r="F52" i="1"/>
  <c r="J52" i="1"/>
  <c r="N52" i="1"/>
  <c r="E52" i="1"/>
  <c r="G52" i="1"/>
  <c r="K52" i="1"/>
  <c r="N206" i="1"/>
  <c r="N237" i="1" s="1"/>
  <c r="E206" i="1"/>
  <c r="E237" i="1" s="1"/>
  <c r="G176" i="1"/>
  <c r="K176" i="1"/>
  <c r="H176" i="1"/>
  <c r="L176" i="1"/>
  <c r="E176" i="1"/>
  <c r="I176" i="1"/>
  <c r="M176" i="1"/>
  <c r="F176" i="1"/>
  <c r="J176" i="1"/>
  <c r="N176" i="1"/>
  <c r="N269" i="1" l="1"/>
  <c r="N257" i="1"/>
  <c r="I257" i="1"/>
  <c r="I269" i="1"/>
  <c r="K269" i="1"/>
  <c r="K257" i="1"/>
  <c r="J269" i="1"/>
  <c r="J257" i="1"/>
  <c r="L269" i="1"/>
  <c r="L257" i="1"/>
  <c r="E269" i="1"/>
  <c r="E257" i="1"/>
  <c r="M269" i="1"/>
  <c r="M257" i="1"/>
  <c r="G269" i="1"/>
  <c r="G257" i="1"/>
  <c r="F269" i="1"/>
  <c r="F257" i="1"/>
  <c r="H269" i="1"/>
  <c r="H257" i="1"/>
  <c r="E96" i="1"/>
  <c r="E102" i="1" s="1"/>
  <c r="M96" i="1"/>
  <c r="M102" i="1" s="1"/>
  <c r="N96" i="1"/>
  <c r="N102" i="1" s="1"/>
  <c r="I96" i="1"/>
  <c r="I102" i="1" s="1"/>
  <c r="J96" i="1"/>
  <c r="J102" i="1" s="1"/>
  <c r="L96" i="1"/>
  <c r="L102" i="1" s="1"/>
  <c r="H96" i="1"/>
  <c r="H102" i="1" s="1"/>
  <c r="Q110" i="1"/>
  <c r="Q176" i="1"/>
  <c r="R141" i="1"/>
  <c r="Q206" i="1"/>
  <c r="K96" i="1"/>
  <c r="K102" i="1" s="1"/>
  <c r="R52" i="1"/>
  <c r="Q141" i="1"/>
  <c r="R176" i="1"/>
  <c r="G96" i="1"/>
  <c r="G102" i="1" s="1"/>
  <c r="Q52" i="1"/>
  <c r="R110" i="1"/>
  <c r="T206" i="1"/>
  <c r="T237" i="1" s="1"/>
  <c r="F96" i="1"/>
  <c r="F102" i="1" s="1"/>
  <c r="F83" i="1"/>
  <c r="M225" i="1"/>
  <c r="M212" i="1"/>
  <c r="H225" i="1"/>
  <c r="H212" i="1"/>
  <c r="K128" i="1"/>
  <c r="R128" i="1" s="1"/>
  <c r="N212" i="1"/>
  <c r="N225" i="1"/>
  <c r="I212" i="1"/>
  <c r="I225" i="1"/>
  <c r="K212" i="1"/>
  <c r="K225" i="1"/>
  <c r="K159" i="1"/>
  <c r="R159" i="1" s="1"/>
  <c r="J212" i="1"/>
  <c r="J225" i="1"/>
  <c r="E212" i="1"/>
  <c r="E225" i="1"/>
  <c r="G212" i="1"/>
  <c r="G225" i="1"/>
  <c r="C141" i="1"/>
  <c r="T141" i="1" s="1"/>
  <c r="C110" i="1"/>
  <c r="T110" i="1" s="1"/>
  <c r="G128" i="1"/>
  <c r="Q128" i="1" s="1"/>
  <c r="F225" i="1"/>
  <c r="F212" i="1"/>
  <c r="L225" i="1"/>
  <c r="L212" i="1"/>
  <c r="G159" i="1"/>
  <c r="Q159" i="1" s="1"/>
  <c r="C176" i="1"/>
  <c r="A206" i="1" s="1"/>
  <c r="E83" i="1"/>
  <c r="J83" i="1"/>
  <c r="M83" i="1"/>
  <c r="L83" i="1"/>
  <c r="G83" i="1"/>
  <c r="K83" i="1"/>
  <c r="N83" i="1"/>
  <c r="I83" i="1"/>
  <c r="H83" i="1"/>
  <c r="W52" i="1"/>
  <c r="X52" i="1" s="1"/>
  <c r="C52" i="1"/>
  <c r="E275" i="1" l="1"/>
  <c r="J275" i="1"/>
  <c r="H275" i="1"/>
  <c r="Q269" i="1"/>
  <c r="F275" i="1"/>
  <c r="Q257" i="1"/>
  <c r="G275" i="1"/>
  <c r="C257" i="1"/>
  <c r="C269" i="1"/>
  <c r="T269" i="1" s="1"/>
  <c r="I275" i="1"/>
  <c r="M275" i="1"/>
  <c r="L275" i="1"/>
  <c r="R257" i="1"/>
  <c r="K275" i="1"/>
  <c r="N275" i="1"/>
  <c r="R269" i="1"/>
  <c r="T52" i="1"/>
  <c r="O57" i="1" s="1"/>
  <c r="I243" i="1"/>
  <c r="H243" i="1"/>
  <c r="J243" i="1"/>
  <c r="F243" i="1"/>
  <c r="E243" i="1"/>
  <c r="K243" i="1"/>
  <c r="N243" i="1"/>
  <c r="M243" i="1"/>
  <c r="C212" i="1"/>
  <c r="T176" i="1"/>
  <c r="T225" i="1" s="1"/>
  <c r="Q83" i="1"/>
  <c r="R83" i="1"/>
  <c r="C96" i="1"/>
  <c r="C102" i="1" s="1"/>
  <c r="A52" i="1"/>
  <c r="C225" i="1"/>
  <c r="C159" i="1"/>
  <c r="T159" i="1" s="1"/>
  <c r="O164" i="1" s="1"/>
  <c r="R212" i="1"/>
  <c r="L243" i="1"/>
  <c r="C128" i="1"/>
  <c r="T128" i="1" s="1"/>
  <c r="O133" i="1" s="1"/>
  <c r="Q212" i="1"/>
  <c r="G243" i="1"/>
  <c r="C83" i="1"/>
  <c r="N68" i="1"/>
  <c r="M68" i="1"/>
  <c r="L68" i="1"/>
  <c r="K68" i="1"/>
  <c r="J68" i="1"/>
  <c r="I68" i="1"/>
  <c r="H68" i="1"/>
  <c r="G68" i="1"/>
  <c r="F68" i="1"/>
  <c r="E68" i="1"/>
  <c r="N67" i="1"/>
  <c r="M67" i="1"/>
  <c r="L67" i="1"/>
  <c r="K67" i="1"/>
  <c r="J67" i="1"/>
  <c r="I67" i="1"/>
  <c r="H67" i="1"/>
  <c r="G67" i="1"/>
  <c r="F67" i="1"/>
  <c r="E67" i="1"/>
  <c r="C67" i="1"/>
  <c r="N66" i="1"/>
  <c r="M66" i="1"/>
  <c r="L66" i="1"/>
  <c r="K66" i="1"/>
  <c r="J66" i="1"/>
  <c r="I66" i="1"/>
  <c r="H66" i="1"/>
  <c r="G66" i="1"/>
  <c r="F66" i="1"/>
  <c r="E66" i="1"/>
  <c r="N65" i="1"/>
  <c r="M65" i="1"/>
  <c r="L65" i="1"/>
  <c r="K65" i="1"/>
  <c r="J65" i="1"/>
  <c r="I65" i="1"/>
  <c r="H65" i="1"/>
  <c r="G65" i="1"/>
  <c r="F65" i="1"/>
  <c r="E65" i="1"/>
  <c r="Q275" i="1" l="1"/>
  <c r="C275" i="1"/>
  <c r="T275" i="1" s="1"/>
  <c r="E150" i="20" s="1"/>
  <c r="T257" i="1"/>
  <c r="R275" i="1"/>
  <c r="Q57" i="1"/>
  <c r="R57" i="1"/>
  <c r="T212" i="1"/>
  <c r="Q164" i="1"/>
  <c r="R133" i="1"/>
  <c r="R164" i="1"/>
  <c r="Q133" i="1"/>
  <c r="E90" i="20"/>
  <c r="C243" i="1"/>
  <c r="E96" i="20"/>
  <c r="T228" i="1"/>
  <c r="T227" i="1"/>
  <c r="X212" i="21" l="1"/>
  <c r="X212" i="23"/>
  <c r="U212" i="1"/>
  <c r="E108" i="20" s="1"/>
  <c r="X212" i="5"/>
  <c r="X212" i="19"/>
  <c r="T243" i="1"/>
  <c r="Y212" i="1"/>
  <c r="E102" i="20"/>
  <c r="X212" i="2"/>
  <c r="O217" i="1"/>
  <c r="V212" i="1"/>
  <c r="X212" i="1"/>
  <c r="E138" i="20"/>
  <c r="C164" i="1"/>
  <c r="E144" i="20"/>
  <c r="C133" i="1"/>
  <c r="D133" i="1"/>
  <c r="N133" i="1"/>
  <c r="J133" i="1"/>
  <c r="E133" i="1"/>
  <c r="H133" i="1"/>
  <c r="F133" i="1"/>
  <c r="L133" i="1"/>
  <c r="I133" i="1"/>
  <c r="M133" i="1"/>
  <c r="G133" i="1"/>
  <c r="K133" i="1"/>
  <c r="L164" i="1"/>
  <c r="D164" i="1"/>
  <c r="N164" i="1"/>
  <c r="M164" i="1"/>
  <c r="I164" i="1"/>
  <c r="H164" i="1"/>
  <c r="F164" i="1"/>
  <c r="E164" i="1"/>
  <c r="J164" i="1"/>
  <c r="K164" i="1"/>
  <c r="G164" i="1"/>
  <c r="R217" i="1"/>
  <c r="D217" i="1"/>
  <c r="C217" i="1"/>
  <c r="Q217" i="1"/>
  <c r="E217" i="1"/>
  <c r="F217" i="1"/>
  <c r="G217" i="1"/>
  <c r="L217" i="1"/>
  <c r="K217" i="1"/>
  <c r="M217" i="1"/>
  <c r="I217" i="1"/>
  <c r="N217" i="1"/>
  <c r="J217" i="1"/>
  <c r="H217" i="1"/>
  <c r="W212" i="1" l="1"/>
  <c r="E120" i="20" s="1"/>
  <c r="E114" i="20"/>
  <c r="T217" i="1"/>
  <c r="T133" i="1"/>
  <c r="T164" i="1"/>
  <c r="D60" i="1" l="1"/>
  <c r="D59" i="1"/>
  <c r="C59" i="1"/>
  <c r="E59" i="1"/>
  <c r="K60" i="1"/>
  <c r="J59" i="1"/>
  <c r="I60" i="1"/>
  <c r="J60" i="1"/>
  <c r="I59" i="1"/>
  <c r="L59" i="1"/>
  <c r="N59" i="1"/>
  <c r="G59" i="1"/>
  <c r="M59" i="1"/>
  <c r="G60" i="1"/>
  <c r="M60" i="1"/>
  <c r="E60" i="1"/>
  <c r="L60" i="1"/>
  <c r="C60" i="1"/>
  <c r="K59" i="1"/>
  <c r="F59" i="1"/>
  <c r="N60" i="1"/>
  <c r="F60" i="1"/>
  <c r="H59" i="1"/>
  <c r="H60" i="1"/>
  <c r="T60" i="1" l="1"/>
  <c r="T59" i="1"/>
  <c r="D28" i="1"/>
  <c r="D29" i="1"/>
  <c r="G27" i="1"/>
  <c r="D27" i="1"/>
  <c r="C30" i="1"/>
  <c r="D30" i="1"/>
  <c r="L29" i="1"/>
  <c r="F30" i="1"/>
  <c r="I29" i="1"/>
  <c r="E29" i="1"/>
  <c r="J28" i="1"/>
  <c r="K30" i="1"/>
  <c r="N30" i="1"/>
  <c r="L30" i="1"/>
  <c r="M30" i="1"/>
  <c r="G30" i="1"/>
  <c r="J30" i="1"/>
  <c r="H30" i="1"/>
  <c r="E30" i="1"/>
  <c r="E28" i="1"/>
  <c r="C28" i="1"/>
  <c r="L28" i="1"/>
  <c r="M28" i="1"/>
  <c r="I28" i="1"/>
  <c r="F28" i="1"/>
  <c r="H28" i="1"/>
  <c r="N28" i="1"/>
  <c r="G28" i="1"/>
  <c r="K28" i="1"/>
  <c r="K29" i="1"/>
  <c r="C29" i="1"/>
  <c r="J29" i="1"/>
  <c r="N29" i="1"/>
  <c r="I30" i="1"/>
  <c r="G29" i="1"/>
  <c r="M29" i="1"/>
  <c r="H29" i="1"/>
  <c r="F29" i="1"/>
  <c r="F27" i="1"/>
  <c r="N27" i="1"/>
  <c r="L27" i="1"/>
  <c r="C27" i="1"/>
  <c r="H27" i="1"/>
  <c r="J27" i="1"/>
  <c r="M27" i="1"/>
  <c r="I27" i="1"/>
  <c r="E27" i="1"/>
  <c r="K27" i="1"/>
  <c r="T27" i="1" l="1"/>
  <c r="T28" i="1"/>
  <c r="T30" i="1"/>
  <c r="T29" i="1"/>
  <c r="C65" i="1"/>
  <c r="U243" i="1" l="1"/>
  <c r="V243" i="1" s="1"/>
  <c r="D57" i="1"/>
  <c r="G57" i="1"/>
  <c r="L57" i="1"/>
  <c r="M57" i="1"/>
  <c r="J57" i="1"/>
  <c r="H57" i="1"/>
  <c r="E57" i="1"/>
  <c r="F57" i="1"/>
  <c r="K57" i="1"/>
  <c r="N57" i="1"/>
  <c r="I57" i="1"/>
  <c r="C57" i="1"/>
  <c r="T57" i="1" l="1"/>
  <c r="E126" i="20"/>
  <c r="E132" i="20"/>
  <c r="C66" i="1"/>
  <c r="C142" i="1"/>
  <c r="C111" i="1"/>
  <c r="T111" i="1" s="1"/>
  <c r="C177" i="1"/>
  <c r="A207" i="1" s="1"/>
  <c r="C53" i="1"/>
  <c r="C270" i="1" l="1"/>
  <c r="T270" i="1" s="1"/>
  <c r="C258" i="1"/>
  <c r="T53" i="1"/>
  <c r="O58" i="1" s="1"/>
  <c r="C160" i="1"/>
  <c r="T142" i="1"/>
  <c r="C213" i="1"/>
  <c r="T177" i="1"/>
  <c r="T226" i="1" s="1"/>
  <c r="C97" i="1"/>
  <c r="C103" i="1" s="1"/>
  <c r="A53" i="1"/>
  <c r="C129" i="1"/>
  <c r="T129" i="1" s="1"/>
  <c r="C84" i="1"/>
  <c r="C226" i="1"/>
  <c r="Q58" i="1" l="1"/>
  <c r="C276" i="1"/>
  <c r="T276" i="1" s="1"/>
  <c r="E151" i="20" s="1"/>
  <c r="T258" i="1"/>
  <c r="R58" i="1"/>
  <c r="C244" i="1"/>
  <c r="T160" i="1"/>
  <c r="E145" i="20" s="1"/>
  <c r="O134" i="1"/>
  <c r="Q134" i="1"/>
  <c r="R134" i="1"/>
  <c r="J58" i="1"/>
  <c r="E91" i="20"/>
  <c r="D134" i="1"/>
  <c r="E139" i="20"/>
  <c r="E58" i="1"/>
  <c r="L58" i="1"/>
  <c r="C58" i="1"/>
  <c r="I58" i="1"/>
  <c r="F58" i="1"/>
  <c r="M58" i="1"/>
  <c r="H58" i="1"/>
  <c r="G58" i="1"/>
  <c r="E97" i="20"/>
  <c r="D58" i="1"/>
  <c r="K58" i="1"/>
  <c r="N58" i="1"/>
  <c r="L134" i="1"/>
  <c r="C134" i="1"/>
  <c r="J134" i="1"/>
  <c r="E134" i="1"/>
  <c r="H134" i="1"/>
  <c r="M134" i="1"/>
  <c r="G134" i="1"/>
  <c r="N134" i="1"/>
  <c r="F134" i="1"/>
  <c r="I134" i="1"/>
  <c r="K134" i="1"/>
  <c r="O165" i="1" l="1"/>
  <c r="Q165" i="1"/>
  <c r="R165" i="1"/>
  <c r="K165" i="1"/>
  <c r="I165" i="1"/>
  <c r="D165" i="1"/>
  <c r="E165" i="1"/>
  <c r="F165" i="1"/>
  <c r="H165" i="1"/>
  <c r="G165" i="1"/>
  <c r="L165" i="1"/>
  <c r="M165" i="1"/>
  <c r="N165" i="1"/>
  <c r="J165" i="1"/>
  <c r="C165" i="1"/>
  <c r="T134" i="1"/>
  <c r="T58" i="1"/>
  <c r="T165" i="1" l="1"/>
  <c r="H16" i="22" l="1"/>
  <c r="F17" i="22"/>
  <c r="F20" i="22"/>
  <c r="F10" i="22"/>
  <c r="F23" i="22"/>
  <c r="F9" i="22"/>
  <c r="F24" i="22"/>
  <c r="F39" i="22"/>
  <c r="F21" i="22"/>
  <c r="F13" i="22"/>
  <c r="F28" i="22"/>
  <c r="F12" i="22"/>
  <c r="H12" i="22"/>
  <c r="H17" i="22"/>
  <c r="H20" i="22"/>
  <c r="F11" i="22"/>
  <c r="H24" i="22"/>
  <c r="H21" i="22"/>
  <c r="H28" i="22"/>
  <c r="F14" i="22"/>
  <c r="H9" i="22"/>
  <c r="F30" i="22"/>
  <c r="H30" i="22"/>
  <c r="H39" i="22"/>
  <c r="H11" i="22"/>
  <c r="F16" i="22"/>
  <c r="F34" i="22"/>
  <c r="H34" i="22"/>
  <c r="F35" i="22"/>
  <c r="H14" i="22"/>
  <c r="F18" i="22"/>
  <c r="F32" i="22"/>
  <c r="H32" i="22"/>
  <c r="H26" i="22"/>
  <c r="F26" i="22"/>
  <c r="F38" i="22"/>
  <c r="H38" i="22"/>
  <c r="F40" i="22"/>
  <c r="H40" i="22"/>
  <c r="H13" i="22"/>
  <c r="F15" i="22"/>
  <c r="F36" i="22"/>
  <c r="H36" i="22"/>
  <c r="F27" i="22"/>
  <c r="H27" i="22"/>
  <c r="H33" i="22"/>
  <c r="F33" i="22"/>
  <c r="H35" i="22"/>
  <c r="H7" i="22"/>
  <c r="F7" i="22"/>
  <c r="H10" i="22"/>
  <c r="H25" i="22"/>
  <c r="F25" i="22"/>
  <c r="F29" i="22"/>
  <c r="H29" i="22"/>
  <c r="H18" i="22"/>
  <c r="H15" i="22"/>
  <c r="H19" i="22"/>
  <c r="F19" i="22"/>
  <c r="H37" i="22"/>
  <c r="F37" i="22"/>
  <c r="H31" i="22"/>
  <c r="F31" i="22"/>
  <c r="H23" i="22"/>
  <c r="H22" i="22"/>
  <c r="F22" i="22"/>
  <c r="F8" i="22"/>
  <c r="H8" i="22"/>
  <c r="AL21" i="22" l="1"/>
  <c r="AL37" i="22" l="1"/>
  <c r="AL33" i="22"/>
  <c r="AL29" i="22"/>
  <c r="AL25" i="22"/>
  <c r="AL40" i="22"/>
  <c r="D209" i="1" s="1"/>
  <c r="AL36" i="22"/>
  <c r="AL32" i="22"/>
  <c r="AL28" i="22"/>
  <c r="AL24" i="22"/>
  <c r="AL20" i="22"/>
  <c r="AL39" i="22"/>
  <c r="AL35" i="22"/>
  <c r="AL31" i="22"/>
  <c r="AL27" i="22"/>
  <c r="AL23" i="22"/>
  <c r="AL38" i="22"/>
  <c r="AL34" i="22"/>
  <c r="AL30" i="22"/>
  <c r="AL26" i="22"/>
  <c r="AL22" i="22"/>
  <c r="D207" i="1" l="1"/>
  <c r="D238" i="1" s="1"/>
  <c r="D208" i="1"/>
  <c r="T207" i="1" l="1"/>
  <c r="T238" i="1" s="1"/>
  <c r="D213" i="1"/>
  <c r="D244" i="1" s="1"/>
  <c r="D239" i="1"/>
  <c r="D214" i="1"/>
  <c r="T208" i="1"/>
  <c r="T239" i="1" s="1"/>
  <c r="D240" i="1"/>
  <c r="D215" i="1"/>
  <c r="T209" i="1"/>
  <c r="T240" i="1" s="1"/>
  <c r="T213" i="1" l="1"/>
  <c r="D246" i="1"/>
  <c r="T215" i="1"/>
  <c r="D245" i="1"/>
  <c r="T214" i="1"/>
  <c r="D219" i="1" l="1"/>
  <c r="X214" i="23"/>
  <c r="D220" i="1"/>
  <c r="X215" i="23"/>
  <c r="D218" i="1"/>
  <c r="X213" i="23"/>
  <c r="H218" i="1"/>
  <c r="X213" i="1"/>
  <c r="Y213" i="1"/>
  <c r="X213" i="21"/>
  <c r="X213" i="2"/>
  <c r="E103" i="20"/>
  <c r="I218" i="1"/>
  <c r="O218" i="1"/>
  <c r="C218" i="1"/>
  <c r="E218" i="1"/>
  <c r="U213" i="1"/>
  <c r="E109" i="20" s="1"/>
  <c r="L218" i="1"/>
  <c r="J218" i="1"/>
  <c r="M218" i="1"/>
  <c r="X213" i="5"/>
  <c r="V213" i="1"/>
  <c r="F218" i="1"/>
  <c r="N218" i="1"/>
  <c r="X213" i="19"/>
  <c r="R218" i="1"/>
  <c r="G218" i="1"/>
  <c r="Q218" i="1"/>
  <c r="T244" i="1"/>
  <c r="U244" i="1" s="1"/>
  <c r="E127" i="20" s="1"/>
  <c r="K218" i="1"/>
  <c r="Y214" i="1"/>
  <c r="X214" i="2"/>
  <c r="U214" i="1"/>
  <c r="E110" i="20" s="1"/>
  <c r="T245" i="1"/>
  <c r="U245" i="1" s="1"/>
  <c r="Q219" i="1"/>
  <c r="H219" i="1"/>
  <c r="I219" i="1"/>
  <c r="N219" i="1"/>
  <c r="O219" i="1"/>
  <c r="X214" i="19"/>
  <c r="C219" i="1"/>
  <c r="J219" i="1"/>
  <c r="L219" i="1"/>
  <c r="E219" i="1"/>
  <c r="X214" i="1"/>
  <c r="X214" i="5"/>
  <c r="X214" i="21"/>
  <c r="E104" i="20"/>
  <c r="R219" i="1"/>
  <c r="F219" i="1"/>
  <c r="G219" i="1"/>
  <c r="M219" i="1"/>
  <c r="V214" i="1"/>
  <c r="K219" i="1"/>
  <c r="X215" i="21"/>
  <c r="X215" i="1"/>
  <c r="O220" i="1"/>
  <c r="U215" i="1"/>
  <c r="E111" i="20" s="1"/>
  <c r="V215" i="1"/>
  <c r="X215" i="2"/>
  <c r="E105" i="20"/>
  <c r="Y215" i="1"/>
  <c r="X215" i="5"/>
  <c r="X215" i="19"/>
  <c r="T246" i="1"/>
  <c r="U246" i="1" s="1"/>
  <c r="R220" i="1"/>
  <c r="J220" i="1"/>
  <c r="C220" i="1"/>
  <c r="G220" i="1"/>
  <c r="K220" i="1"/>
  <c r="N220" i="1"/>
  <c r="M220" i="1"/>
  <c r="Q220" i="1"/>
  <c r="F220" i="1"/>
  <c r="E220" i="1"/>
  <c r="I220" i="1"/>
  <c r="L220" i="1"/>
  <c r="H220" i="1"/>
  <c r="W213" i="1" l="1"/>
  <c r="E121" i="20" s="1"/>
  <c r="E115" i="20"/>
  <c r="V244" i="1"/>
  <c r="E133" i="20" s="1"/>
  <c r="T218" i="1"/>
  <c r="V246" i="1"/>
  <c r="E135" i="20" s="1"/>
  <c r="E129" i="20"/>
  <c r="T219" i="1"/>
  <c r="V245" i="1"/>
  <c r="E134" i="20" s="1"/>
  <c r="E128" i="20"/>
  <c r="T220" i="1"/>
  <c r="E117" i="20"/>
  <c r="W215" i="1"/>
  <c r="E123" i="20" s="1"/>
  <c r="W214" i="1"/>
  <c r="E122" i="20" s="1"/>
  <c r="E116" i="20"/>
</calcChain>
</file>

<file path=xl/sharedStrings.xml><?xml version="1.0" encoding="utf-8"?>
<sst xmlns="http://schemas.openxmlformats.org/spreadsheetml/2006/main" count="5559" uniqueCount="156">
  <si>
    <t>Coal</t>
  </si>
  <si>
    <t>Nuclear</t>
  </si>
  <si>
    <t>Wind</t>
  </si>
  <si>
    <t>CSP</t>
  </si>
  <si>
    <t>Solar PV</t>
  </si>
  <si>
    <t>Hydro (incl. PS)</t>
  </si>
  <si>
    <t>Hydro</t>
  </si>
  <si>
    <t>Pumped storage</t>
  </si>
  <si>
    <t>Biomass</t>
  </si>
  <si>
    <t>Biogas</t>
  </si>
  <si>
    <t>TOTAL</t>
  </si>
  <si>
    <t>CAPACITY</t>
  </si>
  <si>
    <t>CAPACITY FACTOR</t>
  </si>
  <si>
    <t>Total energy [GWh]</t>
  </si>
  <si>
    <t>Customer demand [GWh]</t>
  </si>
  <si>
    <t>RE share [%]</t>
  </si>
  <si>
    <t>RE share [GWh]</t>
  </si>
  <si>
    <t>CO2 emissions</t>
  </si>
  <si>
    <t>Generation cost</t>
  </si>
  <si>
    <t>Fixed costs [R/kW/yr]</t>
  </si>
  <si>
    <t>Variable costs (incl fuel) [R/kWh]</t>
  </si>
  <si>
    <t>Capital costs [R/kW/yr]</t>
  </si>
  <si>
    <t>New Build (incl. decommissioning) [R-billion]</t>
  </si>
  <si>
    <t>Total cost [R-billion]</t>
  </si>
  <si>
    <t>Total [Mt]</t>
  </si>
  <si>
    <t>DR</t>
  </si>
  <si>
    <t>Compared to Base Case</t>
  </si>
  <si>
    <t>Compared to Carbon Budget</t>
  </si>
  <si>
    <t>Gas</t>
  </si>
  <si>
    <t>Peaking</t>
  </si>
  <si>
    <t>Committed/under construction 
(with decommissioning) [MW]</t>
  </si>
  <si>
    <t>Existing 
(with decommissioning) [MW]</t>
  </si>
  <si>
    <t>New Build 
(incl. decommissioning) [MW]</t>
  </si>
  <si>
    <t>Total Installed capacity 
[MW]</t>
  </si>
  <si>
    <t>Existing 
(with decommissioning) [GWh]</t>
  </si>
  <si>
    <t>Committed/under construction 
(with decommissioning) [GWh]</t>
  </si>
  <si>
    <t>New Build 
(incl. decommissioning) [GWh]</t>
  </si>
  <si>
    <t>Existing 
(with decommissioning) [%]</t>
  </si>
  <si>
    <t>Committed/under construction 
(with decommissioning) [%]</t>
  </si>
  <si>
    <t>CO2 emissions [kg/MWh]</t>
  </si>
  <si>
    <t>Existing 
(with decommissioning) [Mt]</t>
  </si>
  <si>
    <t>Committed/under construction 
(with decommissioning) [Mt]</t>
  </si>
  <si>
    <t>New Build 
(incl. decommissioning) [Mt]</t>
  </si>
  <si>
    <t>New Build 
(incl. decommissioning) [%]</t>
  </si>
  <si>
    <t>Water usage</t>
  </si>
  <si>
    <t>Existing
(with decommissioning) [R-billion]</t>
  </si>
  <si>
    <t>Committed/under construction (incl. decommissioning) [R-billion]</t>
  </si>
  <si>
    <t>Cost per energy unit 
(committed/under construction) [R/kWh]</t>
  </si>
  <si>
    <t>Cost per energy unit 
(existing) [R/kWh]</t>
  </si>
  <si>
    <t>Cost per energy unit
(New) [R/kWh]</t>
  </si>
  <si>
    <t>Cost per energy unit 
(All) in R/kWh</t>
  </si>
  <si>
    <t>Tariff estimate</t>
  </si>
  <si>
    <t>All [%]</t>
  </si>
  <si>
    <t>ENERGY GENERATED</t>
  </si>
  <si>
    <t>Total energy curtailed [GWh]</t>
  </si>
  <si>
    <t>Total energy curtailed [%]</t>
  </si>
  <si>
    <t>Total energy available [GWh]</t>
  </si>
  <si>
    <t>ENERGY AVAILABLE/CURTAILED</t>
  </si>
  <si>
    <t>Water usage [l/MWh]</t>
  </si>
  <si>
    <t>Peak demand [MW]</t>
  </si>
  <si>
    <t>Compared to Base Case (LowD)</t>
  </si>
  <si>
    <t>Existing</t>
  </si>
  <si>
    <t>2016-2050</t>
  </si>
  <si>
    <t>Committed</t>
  </si>
  <si>
    <t>New Build</t>
  </si>
  <si>
    <t>HC-BC</t>
  </si>
  <si>
    <t>HC-CB</t>
  </si>
  <si>
    <t>O-LC</t>
  </si>
  <si>
    <t>O-LC_DS</t>
  </si>
  <si>
    <t>GENERATION COST</t>
  </si>
  <si>
    <t>SCENARIO SUMMARY</t>
  </si>
  <si>
    <t>BC-LowD</t>
  </si>
  <si>
    <t>Decarbonise</t>
  </si>
  <si>
    <t>Tariff w/o CO2</t>
  </si>
  <si>
    <t>Tariff w CO2</t>
  </si>
  <si>
    <t xml:space="preserve">Wholesale tariff </t>
  </si>
  <si>
    <t>Existing 
(with decommissioning) [bl]</t>
  </si>
  <si>
    <t>Committed/under construction 
(with decommissioning) [bl]</t>
  </si>
  <si>
    <t>New Build 
(incl. decommissioning) [bl]</t>
  </si>
  <si>
    <t>Total [bl]</t>
  </si>
  <si>
    <t>Cost of Tx, Dx, customer services [R/kWh]</t>
  </si>
  <si>
    <t>Cost of CO2 [R/t]</t>
  </si>
  <si>
    <t>Installed capacity [MW]</t>
  </si>
  <si>
    <t>Energy generated [GWh]</t>
  </si>
  <si>
    <t>CO2 emisisons [Mt/yr]</t>
  </si>
  <si>
    <t>Water [bl/yr]</t>
  </si>
  <si>
    <t>With CO2</t>
  </si>
  <si>
    <t>Total wholesale generation cost (w/o CO2) [R-billion/yr]</t>
  </si>
  <si>
    <t>Total wholesale generation cost (w CO2) [R-billion/yr]</t>
  </si>
  <si>
    <t>Other Storage</t>
  </si>
  <si>
    <t>Other storage</t>
  </si>
  <si>
    <t>Biomass/-gas</t>
  </si>
  <si>
    <t>Total (with Tx/Dx/Other)</t>
  </si>
  <si>
    <t>Total +CO2 (with Tx/Dx/Other)</t>
  </si>
  <si>
    <t>Total system cost (w/o CO2) [R-billion/yr]</t>
  </si>
  <si>
    <t>Total system cost (w CO2) [R-billion/yr]</t>
  </si>
  <si>
    <t>Average tariff (w/o CO2) [R/kWh]</t>
  </si>
  <si>
    <t>Average tariff (w CO2) [R/kWh]</t>
  </si>
  <si>
    <t>Operations [jobs/TWh]</t>
  </si>
  <si>
    <t>Localised job creation potential</t>
  </si>
  <si>
    <t>Year</t>
  </si>
  <si>
    <t>Units</t>
  </si>
  <si>
    <t>Installed Cap (MW)</t>
  </si>
  <si>
    <t>Units Built</t>
  </si>
  <si>
    <t>Capacity Built</t>
  </si>
  <si>
    <t>mR for 1st unit</t>
  </si>
  <si>
    <t>Nuclear_IRP2016</t>
  </si>
  <si>
    <t>R/kW</t>
  </si>
  <si>
    <t>Total annualised R/kW/a</t>
  </si>
  <si>
    <t>./.</t>
  </si>
  <si>
    <t>a</t>
  </si>
  <si>
    <t>Generator</t>
  </si>
  <si>
    <t>Total CAPEX</t>
  </si>
  <si>
    <t>[bR]</t>
  </si>
  <si>
    <t>Capital phasing</t>
  </si>
  <si>
    <t>[%]</t>
  </si>
  <si>
    <t>R/kW/a</t>
  </si>
  <si>
    <t>Annualised overnight cost</t>
  </si>
  <si>
    <t>Carbon Budget</t>
  </si>
  <si>
    <t>Cash profile for each nuclear unit</t>
  </si>
  <si>
    <t>Capital [jobs/(GW/yr)]</t>
  </si>
  <si>
    <t>Capital suppliers [jobs/(GW/yr)]</t>
  </si>
  <si>
    <t>Operations suppliers [jobs/TWh]</t>
  </si>
  <si>
    <t>Total</t>
  </si>
  <si>
    <t>Capex - direct (committed + new build)</t>
  </si>
  <si>
    <t>Opex - direct (existing, committed, new build)</t>
  </si>
  <si>
    <t>Capex - suppliers (committed + new build)</t>
  </si>
  <si>
    <t>Opex - suppliers (existing, committed, new build)</t>
  </si>
  <si>
    <t>Base Case</t>
  </si>
  <si>
    <t>Localised jobs [jobs]</t>
  </si>
  <si>
    <t>O-LC_DS-Exp</t>
  </si>
  <si>
    <t>Localised jobs</t>
  </si>
  <si>
    <t>HC-BCUnconst</t>
  </si>
  <si>
    <t>HC-UCBC</t>
  </si>
  <si>
    <t>DC_DS</t>
  </si>
  <si>
    <t>O-UCBC-LowD</t>
  </si>
  <si>
    <t>CSIR Energy Centre</t>
  </si>
  <si>
    <t>Formal comments on the Integrated Resource Plan (IRP) Update Assumptions, Base Case and Observations 2016</t>
  </si>
  <si>
    <t>March 2017</t>
  </si>
  <si>
    <t>This spreadsheet forms part of the above submission as part of the draft IRP 2016 public participation process.</t>
  </si>
  <si>
    <t>Sheet name</t>
  </si>
  <si>
    <t>A brief description of sheet names is given below.</t>
  </si>
  <si>
    <t>Description</t>
  </si>
  <si>
    <t>Inputs_Summary</t>
  </si>
  <si>
    <t>O-DC_DS</t>
  </si>
  <si>
    <t>O-BC-LowD</t>
  </si>
  <si>
    <t>O-LC_DS-LowD</t>
  </si>
  <si>
    <t>A summary of key input assumptions as well as a summary of results from each scenario and sensitivity</t>
  </si>
  <si>
    <t>Unconstrained Base Case</t>
  </si>
  <si>
    <t>Least cost</t>
  </si>
  <si>
    <t>Decarbonised</t>
  </si>
  <si>
    <t>Least cost (with expected costs)</t>
  </si>
  <si>
    <t>Base Case (Low Demand)</t>
  </si>
  <si>
    <t>Unconstraiined Base Case (Low Demand)</t>
  </si>
  <si>
    <t>Least Cost (Low Demand)</t>
  </si>
  <si>
    <t xml:space="preserve">The input assumptions and results presented are final in the context of this submission and using the data available.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</si>
</sst>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R&quot;\ #,##0.00;[Red]&quot;R&quot;\ \-#,##0.00"/>
    <numFmt numFmtId="165" formatCode="_ * #,##0.00_ ;_ * \-#,##0.00_ ;_ * &quot;-&quot;??_ ;_ @_ "/>
    <numFmt numFmtId="166" formatCode="_ * #,##0_ ;_ * \-#,##0_ ;_ * &quot;-&quot;??_ ;_ @_ "/>
    <numFmt numFmtId="167" formatCode="0.0%"/>
    <numFmt numFmtId="168" formatCode="_(* #,##0_);_(* \(#,##0\);_(* &quot;-&quot;??_);_(@_)"/>
    <numFmt numFmtId="169" formatCode="#,##0.0"/>
    <numFmt numFmtId="170" formatCode="mm/dd/yyyy\ hh:mm:ss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indexed="8"/>
      <name val="Calibri"/>
      <family val="2"/>
    </font>
    <font>
      <sz val="11"/>
      <color theme="0" tint="-0.34998626667073579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6"/>
      <color rgb="FF000000"/>
      <name val="Calibri"/>
      <family val="2"/>
      <scheme val="minor"/>
    </font>
    <font>
      <sz val="26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2F2F2"/>
      </patternFill>
    </fill>
    <fill>
      <patternFill patternType="solid">
        <fgColor indexed="22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1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5" borderId="2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>
      <alignment wrapText="1"/>
    </xf>
    <xf numFmtId="170" fontId="10" fillId="0" borderId="0">
      <alignment wrapText="1"/>
    </xf>
    <xf numFmtId="0" fontId="10" fillId="6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2" fillId="5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4" fillId="0" borderId="0"/>
    <xf numFmtId="0" fontId="14" fillId="6" borderId="0">
      <alignment wrapText="1"/>
    </xf>
    <xf numFmtId="0" fontId="14" fillId="0" borderId="0">
      <alignment wrapText="1"/>
    </xf>
    <xf numFmtId="0" fontId="14" fillId="0" borderId="0">
      <alignment wrapText="1"/>
    </xf>
    <xf numFmtId="0" fontId="14" fillId="0" borderId="0">
      <alignment wrapText="1"/>
    </xf>
    <xf numFmtId="170" fontId="14" fillId="0" borderId="0">
      <alignment wrapText="1"/>
    </xf>
  </cellStyleXfs>
  <cellXfs count="132">
    <xf numFmtId="0" fontId="0" fillId="0" borderId="0" xfId="0"/>
    <xf numFmtId="0" fontId="3" fillId="3" borderId="0" xfId="0" applyFont="1" applyFill="1" applyAlignment="1">
      <alignment wrapText="1"/>
    </xf>
    <xf numFmtId="3" fontId="3" fillId="3" borderId="0" xfId="0" applyNumberFormat="1" applyFont="1" applyFill="1" applyAlignment="1">
      <alignment wrapText="1"/>
    </xf>
    <xf numFmtId="0" fontId="0" fillId="3" borderId="0" xfId="0" applyFill="1"/>
    <xf numFmtId="0" fontId="2" fillId="2" borderId="1" xfId="3"/>
    <xf numFmtId="166" fontId="0" fillId="3" borderId="0" xfId="1" applyNumberFormat="1" applyFont="1" applyFill="1"/>
    <xf numFmtId="9" fontId="0" fillId="3" borderId="0" xfId="2" applyFont="1" applyFill="1"/>
    <xf numFmtId="167" fontId="0" fillId="3" borderId="0" xfId="2" applyNumberFormat="1" applyFont="1" applyFill="1"/>
    <xf numFmtId="167" fontId="0" fillId="3" borderId="0" xfId="0" applyNumberFormat="1" applyFill="1"/>
    <xf numFmtId="0" fontId="4" fillId="4" borderId="0" xfId="0" applyFont="1" applyFill="1"/>
    <xf numFmtId="0" fontId="5" fillId="4" borderId="0" xfId="0" applyFont="1" applyFill="1"/>
    <xf numFmtId="0" fontId="0" fillId="3" borderId="0" xfId="0" applyFill="1" applyBorder="1"/>
    <xf numFmtId="3" fontId="0" fillId="3" borderId="0" xfId="0" applyNumberFormat="1" applyFill="1" applyBorder="1"/>
    <xf numFmtId="0" fontId="3" fillId="3" borderId="0" xfId="0" applyFont="1" applyFill="1" applyAlignment="1">
      <alignment wrapText="1"/>
    </xf>
    <xf numFmtId="168" fontId="0" fillId="3" borderId="0" xfId="1" applyNumberFormat="1" applyFont="1" applyFill="1" applyBorder="1"/>
    <xf numFmtId="1" fontId="0" fillId="3" borderId="0" xfId="0" applyNumberFormat="1" applyFill="1"/>
    <xf numFmtId="1" fontId="0" fillId="3" borderId="0" xfId="1" applyNumberFormat="1" applyFont="1" applyFill="1" applyBorder="1"/>
    <xf numFmtId="1" fontId="2" fillId="2" borderId="1" xfId="3" applyNumberFormat="1"/>
    <xf numFmtId="166" fontId="2" fillId="3" borderId="1" xfId="1" applyNumberFormat="1" applyFont="1" applyFill="1" applyBorder="1"/>
    <xf numFmtId="1" fontId="2" fillId="3" borderId="1" xfId="3" applyNumberFormat="1" applyFill="1"/>
    <xf numFmtId="1" fontId="0" fillId="3" borderId="0" xfId="0" applyNumberFormat="1" applyFill="1" applyBorder="1"/>
    <xf numFmtId="9" fontId="2" fillId="3" borderId="1" xfId="2" applyFont="1" applyFill="1" applyBorder="1"/>
    <xf numFmtId="0" fontId="3" fillId="3" borderId="0" xfId="0" applyFont="1" applyFill="1" applyAlignment="1">
      <alignment wrapText="1"/>
    </xf>
    <xf numFmtId="167" fontId="2" fillId="3" borderId="1" xfId="2" applyNumberFormat="1" applyFont="1" applyFill="1" applyBorder="1"/>
    <xf numFmtId="166" fontId="2" fillId="3" borderId="0" xfId="1" applyNumberFormat="1" applyFont="1" applyFill="1" applyBorder="1"/>
    <xf numFmtId="0" fontId="3" fillId="3" borderId="0" xfId="0" applyFont="1" applyFill="1" applyBorder="1" applyAlignment="1">
      <alignment wrapText="1"/>
    </xf>
    <xf numFmtId="167" fontId="2" fillId="3" borderId="0" xfId="2" applyNumberFormat="1" applyFont="1" applyFill="1" applyBorder="1"/>
    <xf numFmtId="167" fontId="0" fillId="3" borderId="0" xfId="0" applyNumberFormat="1" applyFill="1" applyBorder="1"/>
    <xf numFmtId="167" fontId="0" fillId="3" borderId="0" xfId="2" applyNumberFormat="1" applyFont="1" applyFill="1" applyBorder="1"/>
    <xf numFmtId="9" fontId="2" fillId="3" borderId="0" xfId="2" applyFont="1" applyFill="1" applyBorder="1"/>
    <xf numFmtId="0" fontId="3" fillId="3" borderId="0" xfId="0" applyFont="1" applyFill="1" applyAlignment="1">
      <alignment wrapText="1"/>
    </xf>
    <xf numFmtId="0" fontId="5" fillId="3" borderId="0" xfId="0" applyFont="1" applyFill="1"/>
    <xf numFmtId="0" fontId="4" fillId="3" borderId="0" xfId="0" applyFont="1" applyFill="1"/>
    <xf numFmtId="0" fontId="7" fillId="3" borderId="0" xfId="0" applyFont="1" applyFill="1"/>
    <xf numFmtId="0" fontId="3" fillId="3" borderId="0" xfId="0" applyFont="1" applyFill="1" applyBorder="1"/>
    <xf numFmtId="166" fontId="2" fillId="3" borderId="0" xfId="3" applyNumberFormat="1" applyFill="1" applyBorder="1"/>
    <xf numFmtId="2" fontId="2" fillId="2" borderId="1" xfId="3" applyNumberFormat="1"/>
    <xf numFmtId="165" fontId="0" fillId="3" borderId="0" xfId="1" applyFont="1" applyFill="1"/>
    <xf numFmtId="0" fontId="0" fillId="3" borderId="0" xfId="0" applyFill="1" applyAlignment="1">
      <alignment vertical="center" wrapText="1"/>
    </xf>
    <xf numFmtId="3" fontId="0" fillId="3" borderId="0" xfId="0" applyNumberFormat="1" applyFill="1"/>
    <xf numFmtId="0" fontId="8" fillId="3" borderId="0" xfId="0" applyFont="1" applyFill="1"/>
    <xf numFmtId="0" fontId="3" fillId="3" borderId="0" xfId="0" applyFont="1" applyFill="1"/>
    <xf numFmtId="4" fontId="0" fillId="3" borderId="0" xfId="0" applyNumberFormat="1" applyFill="1"/>
    <xf numFmtId="0" fontId="3" fillId="3" borderId="0" xfId="0" applyFont="1" applyFill="1" applyAlignment="1">
      <alignment wrapText="1"/>
    </xf>
    <xf numFmtId="3" fontId="2" fillId="2" borderId="1" xfId="3" applyNumberFormat="1"/>
    <xf numFmtId="4" fontId="2" fillId="2" borderId="1" xfId="3" applyNumberFormat="1"/>
    <xf numFmtId="166" fontId="9" fillId="5" borderId="2" xfId="61" applyNumberFormat="1"/>
    <xf numFmtId="4" fontId="9" fillId="5" borderId="2" xfId="61" applyNumberFormat="1"/>
    <xf numFmtId="2" fontId="2" fillId="3" borderId="1" xfId="3" applyNumberFormat="1" applyFill="1"/>
    <xf numFmtId="3" fontId="2" fillId="2" borderId="1" xfId="1" applyNumberFormat="1" applyFont="1" applyFill="1" applyBorder="1"/>
    <xf numFmtId="3" fontId="2" fillId="3" borderId="1" xfId="3" applyNumberFormat="1" applyFill="1"/>
    <xf numFmtId="169" fontId="2" fillId="3" borderId="1" xfId="2" applyNumberFormat="1" applyFont="1" applyFill="1" applyBorder="1"/>
    <xf numFmtId="2" fontId="2" fillId="3" borderId="3" xfId="3" applyNumberFormat="1" applyFill="1" applyBorder="1"/>
    <xf numFmtId="2" fontId="2" fillId="3" borderId="0" xfId="3" applyNumberFormat="1" applyFill="1" applyBorder="1"/>
    <xf numFmtId="4" fontId="0" fillId="3" borderId="0" xfId="0" applyNumberFormat="1" applyFill="1" applyBorder="1"/>
    <xf numFmtId="2" fontId="2" fillId="3" borderId="4" xfId="3" applyNumberFormat="1" applyFill="1" applyBorder="1"/>
    <xf numFmtId="3" fontId="2" fillId="3" borderId="0" xfId="3" applyNumberFormat="1" applyFill="1" applyBorder="1"/>
    <xf numFmtId="166" fontId="0" fillId="3" borderId="0" xfId="1" applyNumberFormat="1" applyFont="1" applyFill="1" applyBorder="1"/>
    <xf numFmtId="0" fontId="4" fillId="3" borderId="0" xfId="0" applyFont="1" applyFill="1" applyBorder="1"/>
    <xf numFmtId="0" fontId="5" fillId="3" borderId="0" xfId="0" applyFont="1" applyFill="1" applyBorder="1"/>
    <xf numFmtId="3" fontId="3" fillId="3" borderId="0" xfId="0" applyNumberFormat="1" applyFont="1" applyFill="1" applyBorder="1" applyAlignment="1">
      <alignment wrapText="1"/>
    </xf>
    <xf numFmtId="0" fontId="2" fillId="3" borderId="0" xfId="3" applyFill="1" applyBorder="1"/>
    <xf numFmtId="1" fontId="2" fillId="3" borderId="0" xfId="3" applyNumberFormat="1" applyFill="1" applyBorder="1"/>
    <xf numFmtId="9" fontId="0" fillId="3" borderId="0" xfId="2" applyFont="1" applyFill="1" applyBorder="1"/>
    <xf numFmtId="167" fontId="2" fillId="3" borderId="0" xfId="3" applyNumberFormat="1" applyFill="1" applyBorder="1"/>
    <xf numFmtId="167" fontId="3" fillId="3" borderId="0" xfId="2" applyNumberFormat="1" applyFont="1" applyFill="1" applyBorder="1" applyAlignment="1">
      <alignment wrapText="1"/>
    </xf>
    <xf numFmtId="165" fontId="8" fillId="3" borderId="0" xfId="1" applyFont="1" applyFill="1" applyBorder="1"/>
    <xf numFmtId="0" fontId="7" fillId="3" borderId="0" xfId="0" applyFont="1" applyFill="1" applyBorder="1"/>
    <xf numFmtId="0" fontId="8" fillId="3" borderId="0" xfId="0" applyFont="1" applyFill="1" applyBorder="1"/>
    <xf numFmtId="165" fontId="0" fillId="3" borderId="0" xfId="1" applyFont="1" applyFill="1" applyBorder="1"/>
    <xf numFmtId="4" fontId="2" fillId="3" borderId="0" xfId="3" applyNumberFormat="1" applyFill="1" applyBorder="1"/>
    <xf numFmtId="166" fontId="9" fillId="3" borderId="0" xfId="61" applyNumberFormat="1" applyFill="1" applyBorder="1"/>
    <xf numFmtId="166" fontId="0" fillId="3" borderId="0" xfId="0" applyNumberFormat="1" applyFill="1" applyBorder="1"/>
    <xf numFmtId="4" fontId="9" fillId="3" borderId="0" xfId="61" applyNumberFormat="1" applyFill="1" applyBorder="1"/>
    <xf numFmtId="3" fontId="2" fillId="3" borderId="1" xfId="1" applyNumberFormat="1" applyFont="1" applyFill="1" applyBorder="1"/>
    <xf numFmtId="166" fontId="8" fillId="3" borderId="0" xfId="3" applyNumberFormat="1" applyFont="1" applyFill="1" applyBorder="1"/>
    <xf numFmtId="166" fontId="8" fillId="3" borderId="0" xfId="0" applyNumberFormat="1" applyFont="1" applyFill="1"/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right" vertical="center" wrapText="1"/>
    </xf>
    <xf numFmtId="166" fontId="8" fillId="3" borderId="0" xfId="0" applyNumberFormat="1" applyFont="1" applyFill="1" applyBorder="1"/>
    <xf numFmtId="3" fontId="11" fillId="7" borderId="1" xfId="3" applyNumberFormat="1" applyFont="1" applyFill="1"/>
    <xf numFmtId="167" fontId="11" fillId="7" borderId="1" xfId="2" applyNumberFormat="1" applyFont="1" applyFill="1" applyBorder="1"/>
    <xf numFmtId="3" fontId="0" fillId="3" borderId="0" xfId="1" applyNumberFormat="1" applyFont="1" applyFill="1" applyBorder="1"/>
    <xf numFmtId="3" fontId="11" fillId="3" borderId="0" xfId="3" applyNumberFormat="1" applyFont="1" applyFill="1" applyBorder="1"/>
    <xf numFmtId="3" fontId="8" fillId="3" borderId="0" xfId="0" applyNumberFormat="1" applyFont="1" applyFill="1"/>
    <xf numFmtId="165" fontId="0" fillId="3" borderId="0" xfId="0" applyNumberFormat="1" applyFill="1"/>
    <xf numFmtId="3" fontId="4" fillId="4" borderId="0" xfId="0" applyNumberFormat="1" applyFont="1" applyFill="1"/>
    <xf numFmtId="3" fontId="4" fillId="3" borderId="0" xfId="0" applyNumberFormat="1" applyFont="1" applyFill="1"/>
    <xf numFmtId="3" fontId="4" fillId="3" borderId="0" xfId="0" applyNumberFormat="1" applyFont="1" applyFill="1" applyBorder="1"/>
    <xf numFmtId="3" fontId="2" fillId="3" borderId="0" xfId="1" applyNumberFormat="1" applyFont="1" applyFill="1" applyBorder="1"/>
    <xf numFmtId="3" fontId="2" fillId="3" borderId="0" xfId="2" applyNumberFormat="1" applyFont="1" applyFill="1" applyBorder="1"/>
    <xf numFmtId="0" fontId="0" fillId="3" borderId="0" xfId="0" quotePrefix="1" applyFont="1" applyFill="1" applyAlignment="1">
      <alignment wrapText="1"/>
    </xf>
    <xf numFmtId="0" fontId="0" fillId="3" borderId="0" xfId="0" applyFont="1" applyFill="1" applyAlignment="1">
      <alignment wrapText="1"/>
    </xf>
    <xf numFmtId="1" fontId="12" fillId="5" borderId="1" xfId="101" applyNumberFormat="1"/>
    <xf numFmtId="4" fontId="12" fillId="5" borderId="1" xfId="101" applyNumberFormat="1"/>
    <xf numFmtId="3" fontId="12" fillId="5" borderId="1" xfId="101" applyNumberFormat="1"/>
    <xf numFmtId="0" fontId="13" fillId="3" borderId="0" xfId="0" applyFont="1" applyFill="1"/>
    <xf numFmtId="169" fontId="2" fillId="3" borderId="0" xfId="2" applyNumberFormat="1" applyFont="1" applyFill="1" applyBorder="1"/>
    <xf numFmtId="167" fontId="11" fillId="3" borderId="0" xfId="2" applyNumberFormat="1" applyFont="1" applyFill="1" applyBorder="1"/>
    <xf numFmtId="1" fontId="12" fillId="3" borderId="0" xfId="101" applyNumberFormat="1" applyFill="1" applyBorder="1"/>
    <xf numFmtId="4" fontId="12" fillId="3" borderId="0" xfId="101" applyNumberFormat="1" applyFill="1" applyBorder="1"/>
    <xf numFmtId="3" fontId="12" fillId="3" borderId="0" xfId="101" applyNumberFormat="1" applyFill="1" applyBorder="1"/>
    <xf numFmtId="3" fontId="2" fillId="2" borderId="1" xfId="3" applyNumberFormat="1"/>
    <xf numFmtId="1" fontId="1" fillId="3" borderId="0" xfId="108" applyNumberFormat="1" applyFill="1"/>
    <xf numFmtId="166" fontId="0" fillId="3" borderId="0" xfId="0" applyNumberFormat="1" applyFill="1"/>
    <xf numFmtId="3" fontId="0" fillId="3" borderId="0" xfId="0" applyNumberFormat="1" applyFont="1" applyFill="1" applyBorder="1"/>
    <xf numFmtId="0" fontId="0" fillId="3" borderId="0" xfId="0" applyFont="1" applyFill="1" applyBorder="1"/>
    <xf numFmtId="166" fontId="8" fillId="3" borderId="0" xfId="1" applyNumberFormat="1" applyFont="1" applyFill="1"/>
    <xf numFmtId="10" fontId="2" fillId="2" borderId="1" xfId="3" applyNumberFormat="1"/>
    <xf numFmtId="9" fontId="2" fillId="2" borderId="1" xfId="3" applyNumberFormat="1"/>
    <xf numFmtId="164" fontId="0" fillId="3" borderId="0" xfId="0" applyNumberFormat="1" applyFill="1"/>
    <xf numFmtId="166" fontId="2" fillId="2" borderId="1" xfId="3" applyNumberFormat="1"/>
    <xf numFmtId="3" fontId="0" fillId="3" borderId="0" xfId="1" applyNumberFormat="1" applyFont="1" applyFill="1"/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166" fontId="2" fillId="2" borderId="1" xfId="1" applyNumberFormat="1" applyFont="1" applyFill="1" applyBorder="1" applyAlignment="1">
      <alignment horizontal="right"/>
    </xf>
    <xf numFmtId="3" fontId="0" fillId="3" borderId="0" xfId="0" applyNumberFormat="1" applyFont="1" applyFill="1" applyAlignment="1">
      <alignment horizontal="right"/>
    </xf>
    <xf numFmtId="0" fontId="0" fillId="3" borderId="0" xfId="0" applyFont="1" applyFill="1" applyAlignment="1">
      <alignment horizontal="right"/>
    </xf>
    <xf numFmtId="167" fontId="0" fillId="3" borderId="0" xfId="2" applyNumberFormat="1" applyFont="1" applyFill="1" applyAlignment="1">
      <alignment horizontal="right"/>
    </xf>
    <xf numFmtId="3" fontId="0" fillId="3" borderId="0" xfId="0" applyNumberFormat="1" applyFill="1" applyAlignment="1">
      <alignment horizontal="right"/>
    </xf>
    <xf numFmtId="4" fontId="0" fillId="3" borderId="0" xfId="0" applyNumberFormat="1" applyFill="1" applyAlignment="1">
      <alignment horizontal="right"/>
    </xf>
    <xf numFmtId="0" fontId="4" fillId="3" borderId="0" xfId="0" applyFont="1" applyFill="1" applyAlignment="1">
      <alignment horizontal="right"/>
    </xf>
    <xf numFmtId="4" fontId="2" fillId="2" borderId="1" xfId="3" applyNumberFormat="1" applyAlignment="1">
      <alignment horizontal="right"/>
    </xf>
    <xf numFmtId="0" fontId="2" fillId="2" borderId="1" xfId="3" applyAlignment="1">
      <alignment horizontal="right"/>
    </xf>
    <xf numFmtId="165" fontId="0" fillId="3" borderId="0" xfId="0" applyNumberFormat="1" applyFill="1" applyAlignment="1">
      <alignment horizontal="right"/>
    </xf>
    <xf numFmtId="0" fontId="15" fillId="3" borderId="0" xfId="0" applyFont="1" applyFill="1" applyAlignment="1">
      <alignment horizontal="left" vertical="center" readingOrder="1"/>
    </xf>
    <xf numFmtId="0" fontId="16" fillId="3" borderId="0" xfId="0" applyFont="1" applyFill="1" applyAlignment="1">
      <alignment horizontal="left" vertical="center" readingOrder="1"/>
    </xf>
    <xf numFmtId="17" fontId="15" fillId="3" borderId="0" xfId="0" quotePrefix="1" applyNumberFormat="1" applyFont="1" applyFill="1" applyAlignment="1">
      <alignment horizontal="left" vertical="center" readingOrder="1"/>
    </xf>
    <xf numFmtId="0" fontId="17" fillId="3" borderId="0" xfId="0" applyFont="1" applyFill="1"/>
    <xf numFmtId="0" fontId="17" fillId="3" borderId="5" xfId="0" applyFont="1" applyFill="1" applyBorder="1"/>
    <xf numFmtId="0" fontId="17" fillId="3" borderId="5" xfId="0" applyFont="1" applyFill="1" applyBorder="1" applyAlignment="1">
      <alignment horizontal="right"/>
    </xf>
    <xf numFmtId="0" fontId="17" fillId="3" borderId="0" xfId="0" applyFont="1" applyFill="1" applyAlignment="1">
      <alignment horizontal="right"/>
    </xf>
  </cellXfs>
  <cellStyles count="117">
    <cellStyle name="Calculation" xfId="101" builtinId="22"/>
    <cellStyle name="Comma" xfId="1" builtinId="3"/>
    <cellStyle name="Comma 2" xfId="4"/>
    <cellStyle name="Comma 2 10" xfId="79"/>
    <cellStyle name="Comma 2 2" xfId="10"/>
    <cellStyle name="Comma 2 2 10" xfId="81"/>
    <cellStyle name="Comma 2 2 2" xfId="12"/>
    <cellStyle name="Comma 2 2 2 2" xfId="31"/>
    <cellStyle name="Comma 2 2 2 3" xfId="48"/>
    <cellStyle name="Comma 2 2 2 4" xfId="66"/>
    <cellStyle name="Comma 2 2 2 5" xfId="83"/>
    <cellStyle name="Comma 2 2 3" xfId="18"/>
    <cellStyle name="Comma 2 2 3 2" xfId="35"/>
    <cellStyle name="Comma 2 2 3 3" xfId="52"/>
    <cellStyle name="Comma 2 2 3 4" xfId="70"/>
    <cellStyle name="Comma 2 2 3 5" xfId="87"/>
    <cellStyle name="Comma 2 2 4" xfId="19"/>
    <cellStyle name="Comma 2 2 4 2" xfId="36"/>
    <cellStyle name="Comma 2 2 4 3" xfId="53"/>
    <cellStyle name="Comma 2 2 4 4" xfId="71"/>
    <cellStyle name="Comma 2 2 4 5" xfId="88"/>
    <cellStyle name="Comma 2 2 5" xfId="23"/>
    <cellStyle name="Comma 2 2 5 2" xfId="40"/>
    <cellStyle name="Comma 2 2 5 3" xfId="57"/>
    <cellStyle name="Comma 2 2 5 4" xfId="75"/>
    <cellStyle name="Comma 2 2 5 5" xfId="92"/>
    <cellStyle name="Comma 2 2 6" xfId="26"/>
    <cellStyle name="Comma 2 2 6 2" xfId="43"/>
    <cellStyle name="Comma 2 2 6 3" xfId="60"/>
    <cellStyle name="Comma 2 2 6 4" xfId="78"/>
    <cellStyle name="Comma 2 2 6 5" xfId="95"/>
    <cellStyle name="Comma 2 2 7" xfId="29"/>
    <cellStyle name="Comma 2 2 8" xfId="46"/>
    <cellStyle name="Comma 2 2 9" xfId="64"/>
    <cellStyle name="Comma 2 3" xfId="11"/>
    <cellStyle name="Comma 2 3 2" xfId="30"/>
    <cellStyle name="Comma 2 3 3" xfId="47"/>
    <cellStyle name="Comma 2 3 4" xfId="65"/>
    <cellStyle name="Comma 2 3 5" xfId="82"/>
    <cellStyle name="Comma 2 3 6" xfId="103"/>
    <cellStyle name="Comma 2 4" xfId="16"/>
    <cellStyle name="Comma 2 4 2" xfId="33"/>
    <cellStyle name="Comma 2 4 3" xfId="50"/>
    <cellStyle name="Comma 2 4 4" xfId="68"/>
    <cellStyle name="Comma 2 4 5" xfId="85"/>
    <cellStyle name="Comma 2 4 6" xfId="104"/>
    <cellStyle name="Comma 2 5" xfId="21"/>
    <cellStyle name="Comma 2 5 2" xfId="38"/>
    <cellStyle name="Comma 2 5 3" xfId="55"/>
    <cellStyle name="Comma 2 5 4" xfId="73"/>
    <cellStyle name="Comma 2 5 5" xfId="90"/>
    <cellStyle name="Comma 2 6" xfId="24"/>
    <cellStyle name="Comma 2 6 2" xfId="41"/>
    <cellStyle name="Comma 2 6 3" xfId="58"/>
    <cellStyle name="Comma 2 6 4" xfId="76"/>
    <cellStyle name="Comma 2 6 5" xfId="93"/>
    <cellStyle name="Comma 2 7" xfId="27"/>
    <cellStyle name="Comma 2 8" xfId="44"/>
    <cellStyle name="Comma 2 9" xfId="62"/>
    <cellStyle name="Comma 3" xfId="8"/>
    <cellStyle name="Comma 3 2" xfId="17"/>
    <cellStyle name="Comma 3 2 2" xfId="34"/>
    <cellStyle name="Comma 3 2 3" xfId="51"/>
    <cellStyle name="Comma 3 2 4" xfId="69"/>
    <cellStyle name="Comma 3 2 5" xfId="86"/>
    <cellStyle name="Comma 3 3" xfId="22"/>
    <cellStyle name="Comma 3 3 2" xfId="39"/>
    <cellStyle name="Comma 3 3 3" xfId="56"/>
    <cellStyle name="Comma 3 3 4" xfId="74"/>
    <cellStyle name="Comma 3 3 5" xfId="91"/>
    <cellStyle name="Comma 3 4" xfId="25"/>
    <cellStyle name="Comma 3 4 2" xfId="42"/>
    <cellStyle name="Comma 3 4 3" xfId="59"/>
    <cellStyle name="Comma 3 4 4" xfId="77"/>
    <cellStyle name="Comma 3 4 5" xfId="94"/>
    <cellStyle name="Comma 3 5" xfId="28"/>
    <cellStyle name="Comma 3 6" xfId="45"/>
    <cellStyle name="Comma 3 7" xfId="63"/>
    <cellStyle name="Comma 3 8" xfId="80"/>
    <cellStyle name="Comma 4" xfId="14"/>
    <cellStyle name="Comma 4 2" xfId="32"/>
    <cellStyle name="Comma 4 3" xfId="49"/>
    <cellStyle name="Comma 4 4" xfId="67"/>
    <cellStyle name="Comma 4 5" xfId="84"/>
    <cellStyle name="Comma 4 6" xfId="105"/>
    <cellStyle name="Comma 5" xfId="20"/>
    <cellStyle name="Comma 5 2" xfId="37"/>
    <cellStyle name="Comma 5 3" xfId="54"/>
    <cellStyle name="Comma 5 4" xfId="72"/>
    <cellStyle name="Comma 5 5" xfId="89"/>
    <cellStyle name="Comma 6" xfId="102"/>
    <cellStyle name="Comma 8" xfId="106"/>
    <cellStyle name="Comma 9" xfId="107"/>
    <cellStyle name="Input" xfId="3" builtinId="20"/>
    <cellStyle name="Normal" xfId="0" builtinId="0"/>
    <cellStyle name="Normal 10" xfId="108"/>
    <cellStyle name="Normal 2" xfId="5"/>
    <cellStyle name="Normal 2 2" xfId="15"/>
    <cellStyle name="Normal 3" xfId="6"/>
    <cellStyle name="Normal 4" xfId="7"/>
    <cellStyle name="Normal 5" xfId="13"/>
    <cellStyle name="Normal 6" xfId="111"/>
    <cellStyle name="Normal 8" xfId="109"/>
    <cellStyle name="Output" xfId="61" builtinId="21"/>
    <cellStyle name="Percent" xfId="2" builtinId="5"/>
    <cellStyle name="Percent 2" xfId="9"/>
    <cellStyle name="Percent 3" xfId="110"/>
    <cellStyle name="XLConnect.Boolean" xfId="96"/>
    <cellStyle name="XLConnect.Boolean 2" xfId="115"/>
    <cellStyle name="XLConnect.DateTime" xfId="97"/>
    <cellStyle name="XLConnect.DateTime 2" xfId="116"/>
    <cellStyle name="XLConnect.Header" xfId="98"/>
    <cellStyle name="XLConnect.Header 2" xfId="112"/>
    <cellStyle name="XLConnect.Numeric" xfId="99"/>
    <cellStyle name="XLConnect.Numeric 2" xfId="114"/>
    <cellStyle name="XLConnect.String" xfId="100"/>
    <cellStyle name="XLConnect.String 2" xfId="113"/>
  </cellStyles>
  <dxfs count="44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4" defaultTableStyle="TableStyleMedium2" defaultPivotStyle="PivotStyleLight16">
    <tableStyle name="PivotStyleLight16 2" table="0" count="11">
      <tableStyleElement type="headerRow" dxfId="43"/>
      <tableStyleElement type="totalRow" dxfId="42"/>
      <tableStyleElement type="firstRowStripe" dxfId="41"/>
      <tableStyleElement type="firstColumnStripe" dxfId="40"/>
      <tableStyleElement type="firstSubtotalColumn" dxfId="39"/>
      <tableStyleElement type="firstSubtotalRow" dxfId="38"/>
      <tableStyleElement type="secondSubtotalRow" dxfId="37"/>
      <tableStyleElement type="firstRowSubheading" dxfId="36"/>
      <tableStyleElement type="secondRowSubheading" dxfId="35"/>
      <tableStyleElement type="pageFieldLabels" dxfId="34"/>
      <tableStyleElement type="pageFieldValues" dxfId="33"/>
    </tableStyle>
    <tableStyle name="PivotStyleLight16 3" table="0" count="11"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PivotStyleLight16 4" table="0" count="11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6 5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7</xdr:row>
      <xdr:rowOff>161925</xdr:rowOff>
    </xdr:from>
    <xdr:to>
      <xdr:col>2</xdr:col>
      <xdr:colOff>3300259</xdr:colOff>
      <xdr:row>26</xdr:row>
      <xdr:rowOff>33766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2209800"/>
          <a:ext cx="4938559" cy="34913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4"/>
  <sheetViews>
    <sheetView workbookViewId="0">
      <selection activeCell="B6" sqref="B6:B7"/>
    </sheetView>
  </sheetViews>
  <sheetFormatPr defaultColWidth="9.109375" defaultRowHeight="14.4" x14ac:dyDescent="0.3"/>
  <cols>
    <col min="1" max="1" width="9.109375" style="3"/>
    <col min="2" max="2" width="26.109375" style="3" customWidth="1"/>
    <col min="3" max="3" width="100.33203125" style="3" bestFit="1" customWidth="1"/>
    <col min="4" max="4" width="24.6640625" style="3" customWidth="1"/>
    <col min="5" max="16384" width="9.109375" style="3"/>
  </cols>
  <sheetData>
    <row r="2" spans="2:2" ht="33.75" x14ac:dyDescent="0.25">
      <c r="B2" s="125" t="s">
        <v>137</v>
      </c>
    </row>
    <row r="3" spans="2:2" ht="33.6" x14ac:dyDescent="0.3">
      <c r="B3" s="126" t="s">
        <v>136</v>
      </c>
    </row>
    <row r="4" spans="2:2" ht="33.6" x14ac:dyDescent="0.3">
      <c r="B4" s="127" t="s">
        <v>138</v>
      </c>
    </row>
    <row r="6" spans="2:2" ht="15.6" x14ac:dyDescent="0.3">
      <c r="B6" s="128" t="s">
        <v>139</v>
      </c>
    </row>
    <row r="7" spans="2:2" ht="15.6" x14ac:dyDescent="0.3">
      <c r="B7" s="128" t="s">
        <v>155</v>
      </c>
    </row>
    <row r="28" spans="2:4" ht="15.6" x14ac:dyDescent="0.3">
      <c r="B28" s="128" t="s">
        <v>141</v>
      </c>
      <c r="C28" s="128"/>
      <c r="D28" s="128"/>
    </row>
    <row r="29" spans="2:4" ht="16.2" thickBot="1" x14ac:dyDescent="0.35">
      <c r="B29" s="128"/>
      <c r="C29" s="128"/>
      <c r="D29" s="128"/>
    </row>
    <row r="30" spans="2:4" ht="16.8" thickTop="1" thickBot="1" x14ac:dyDescent="0.35">
      <c r="B30" s="129" t="s">
        <v>140</v>
      </c>
      <c r="C30" s="130" t="s">
        <v>142</v>
      </c>
      <c r="D30" s="128"/>
    </row>
    <row r="31" spans="2:4" ht="16.2" thickTop="1" x14ac:dyDescent="0.3">
      <c r="B31" s="128" t="s">
        <v>143</v>
      </c>
      <c r="C31" s="131" t="s">
        <v>147</v>
      </c>
      <c r="D31" s="128"/>
    </row>
    <row r="32" spans="2:4" ht="15.6" x14ac:dyDescent="0.3">
      <c r="B32" s="128" t="s">
        <v>65</v>
      </c>
      <c r="C32" s="131" t="s">
        <v>128</v>
      </c>
      <c r="D32" s="128"/>
    </row>
    <row r="33" spans="2:4" ht="15.6" x14ac:dyDescent="0.3">
      <c r="B33" s="128" t="s">
        <v>133</v>
      </c>
      <c r="C33" s="131" t="s">
        <v>148</v>
      </c>
      <c r="D33" s="128"/>
    </row>
    <row r="34" spans="2:4" ht="15.6" x14ac:dyDescent="0.3">
      <c r="B34" s="128" t="s">
        <v>66</v>
      </c>
      <c r="C34" s="131" t="s">
        <v>118</v>
      </c>
      <c r="D34" s="128"/>
    </row>
    <row r="35" spans="2:4" ht="15.6" x14ac:dyDescent="0.3">
      <c r="B35" s="128" t="s">
        <v>68</v>
      </c>
      <c r="C35" s="131" t="s">
        <v>149</v>
      </c>
      <c r="D35" s="128"/>
    </row>
    <row r="36" spans="2:4" ht="15.6" x14ac:dyDescent="0.3">
      <c r="B36" s="128" t="s">
        <v>144</v>
      </c>
      <c r="C36" s="131" t="s">
        <v>150</v>
      </c>
      <c r="D36" s="128"/>
    </row>
    <row r="37" spans="2:4" ht="15.6" x14ac:dyDescent="0.3">
      <c r="B37" s="128" t="s">
        <v>130</v>
      </c>
      <c r="C37" s="131" t="s">
        <v>151</v>
      </c>
      <c r="D37" s="128"/>
    </row>
    <row r="38" spans="2:4" ht="15.6" x14ac:dyDescent="0.3">
      <c r="B38" s="128" t="s">
        <v>145</v>
      </c>
      <c r="C38" s="131" t="s">
        <v>152</v>
      </c>
      <c r="D38" s="128"/>
    </row>
    <row r="39" spans="2:4" ht="15.6" x14ac:dyDescent="0.3">
      <c r="B39" s="128" t="s">
        <v>135</v>
      </c>
      <c r="C39" s="131" t="s">
        <v>153</v>
      </c>
      <c r="D39" s="128"/>
    </row>
    <row r="40" spans="2:4" ht="15.6" x14ac:dyDescent="0.3">
      <c r="B40" s="128" t="s">
        <v>146</v>
      </c>
      <c r="C40" s="131" t="s">
        <v>154</v>
      </c>
      <c r="D40" s="128"/>
    </row>
    <row r="41" spans="2:4" ht="15.6" x14ac:dyDescent="0.3">
      <c r="B41" s="128"/>
      <c r="C41" s="128"/>
      <c r="D41" s="128"/>
    </row>
    <row r="42" spans="2:4" ht="15.6" x14ac:dyDescent="0.3">
      <c r="B42" s="128"/>
      <c r="C42" s="128"/>
      <c r="D42" s="128"/>
    </row>
    <row r="43" spans="2:4" ht="15.6" x14ac:dyDescent="0.3">
      <c r="B43" s="128"/>
      <c r="C43" s="128"/>
      <c r="D43" s="128"/>
    </row>
    <row r="44" spans="2:4" ht="15.6" x14ac:dyDescent="0.3">
      <c r="B44" s="128"/>
      <c r="C44" s="128"/>
      <c r="D44" s="128"/>
    </row>
    <row r="45" spans="2:4" ht="15.6" x14ac:dyDescent="0.3">
      <c r="B45" s="128"/>
      <c r="C45" s="128"/>
      <c r="D45" s="128"/>
    </row>
    <row r="46" spans="2:4" ht="15.6" x14ac:dyDescent="0.3">
      <c r="B46" s="128"/>
      <c r="C46" s="128"/>
      <c r="D46" s="128"/>
    </row>
    <row r="47" spans="2:4" ht="15.6" x14ac:dyDescent="0.3">
      <c r="B47" s="128"/>
      <c r="C47" s="128"/>
      <c r="D47" s="128"/>
    </row>
    <row r="48" spans="2:4" ht="15.6" x14ac:dyDescent="0.3">
      <c r="B48" s="128"/>
      <c r="C48" s="128"/>
      <c r="D48" s="128"/>
    </row>
    <row r="49" spans="2:4" ht="15.6" x14ac:dyDescent="0.3">
      <c r="B49" s="128"/>
      <c r="C49" s="128"/>
      <c r="D49" s="128"/>
    </row>
    <row r="50" spans="2:4" ht="15.6" x14ac:dyDescent="0.3">
      <c r="B50" s="128"/>
      <c r="C50" s="128"/>
      <c r="D50" s="128"/>
    </row>
    <row r="51" spans="2:4" ht="15.6" x14ac:dyDescent="0.3">
      <c r="B51" s="128"/>
      <c r="C51" s="128"/>
      <c r="D51" s="128"/>
    </row>
    <row r="52" spans="2:4" ht="15.6" x14ac:dyDescent="0.3">
      <c r="B52" s="128"/>
      <c r="C52" s="128"/>
      <c r="D52" s="128"/>
    </row>
    <row r="53" spans="2:4" ht="15.6" x14ac:dyDescent="0.3">
      <c r="B53" s="128"/>
      <c r="C53" s="128"/>
      <c r="D53" s="128"/>
    </row>
    <row r="54" spans="2:4" ht="15.6" x14ac:dyDescent="0.3">
      <c r="B54" s="128"/>
      <c r="C54" s="128"/>
      <c r="D54" s="128"/>
    </row>
    <row r="55" spans="2:4" ht="15.6" x14ac:dyDescent="0.3">
      <c r="B55" s="128"/>
      <c r="C55" s="128"/>
      <c r="D55" s="128"/>
    </row>
    <row r="56" spans="2:4" ht="15.6" x14ac:dyDescent="0.3">
      <c r="B56" s="128"/>
      <c r="C56" s="128"/>
      <c r="D56" s="128"/>
    </row>
    <row r="57" spans="2:4" ht="15.6" x14ac:dyDescent="0.3">
      <c r="B57" s="128"/>
      <c r="C57" s="128"/>
      <c r="D57" s="128"/>
    </row>
    <row r="58" spans="2:4" ht="15.6" x14ac:dyDescent="0.3">
      <c r="B58" s="128"/>
      <c r="C58" s="128"/>
      <c r="D58" s="128"/>
    </row>
    <row r="59" spans="2:4" ht="15.6" x14ac:dyDescent="0.3">
      <c r="B59" s="128"/>
      <c r="C59" s="128"/>
      <c r="D59" s="128"/>
    </row>
    <row r="60" spans="2:4" ht="15.6" x14ac:dyDescent="0.3">
      <c r="B60" s="128"/>
      <c r="C60" s="128"/>
      <c r="D60" s="128"/>
    </row>
    <row r="61" spans="2:4" ht="15.6" x14ac:dyDescent="0.3">
      <c r="B61" s="128"/>
      <c r="C61" s="128"/>
      <c r="D61" s="128"/>
    </row>
    <row r="62" spans="2:4" ht="15.6" x14ac:dyDescent="0.3">
      <c r="B62" s="128"/>
      <c r="C62" s="128"/>
      <c r="D62" s="128"/>
    </row>
    <row r="63" spans="2:4" ht="15.6" x14ac:dyDescent="0.3">
      <c r="B63" s="128"/>
      <c r="C63" s="128"/>
      <c r="D63" s="128"/>
    </row>
    <row r="64" spans="2:4" ht="15.6" x14ac:dyDescent="0.3">
      <c r="B64" s="128"/>
      <c r="C64" s="128"/>
      <c r="D64" s="128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463"/>
  <sheetViews>
    <sheetView topLeftCell="A22" zoomScale="85" zoomScaleNormal="85" workbookViewId="0">
      <selection activeCell="C35" sqref="C35:O49"/>
    </sheetView>
  </sheetViews>
  <sheetFormatPr defaultColWidth="9.109375" defaultRowHeight="14.4" x14ac:dyDescent="0.3"/>
  <cols>
    <col min="1" max="1" width="9.109375" style="3"/>
    <col min="2" max="2" width="43.109375" style="3" customWidth="1"/>
    <col min="3" max="3" width="10.109375" style="3" bestFit="1" customWidth="1"/>
    <col min="4" max="4" width="10.109375" style="3" customWidth="1"/>
    <col min="5" max="5" width="9.5546875" style="3" bestFit="1" customWidth="1"/>
    <col min="6" max="6" width="11.109375" style="3" bestFit="1" customWidth="1"/>
    <col min="7" max="7" width="10.109375" style="3" bestFit="1" customWidth="1"/>
    <col min="8" max="8" width="9.44140625" style="3" bestFit="1" customWidth="1"/>
    <col min="9" max="10" width="11.109375" style="3" bestFit="1" customWidth="1"/>
    <col min="11" max="11" width="9.44140625" style="3" bestFit="1" customWidth="1"/>
    <col min="12" max="12" width="10.109375" style="3" bestFit="1" customWidth="1"/>
    <col min="13" max="13" width="11.109375" style="3" bestFit="1" customWidth="1"/>
    <col min="14" max="14" width="9.44140625" style="3" bestFit="1" customWidth="1"/>
    <col min="15" max="15" width="9.44140625" style="3" customWidth="1"/>
    <col min="16" max="16" width="1.5546875" style="11" customWidth="1"/>
    <col min="17" max="19" width="9.44140625" style="3" bestFit="1" customWidth="1"/>
    <col min="20" max="20" width="10" style="3" bestFit="1" customWidth="1"/>
    <col min="21" max="21" width="10.88671875" style="3" bestFit="1" customWidth="1"/>
    <col min="22" max="22" width="9.5546875" style="3" bestFit="1" customWidth="1"/>
    <col min="23" max="23" width="9.5546875" style="3" customWidth="1"/>
    <col min="24" max="24" width="12.33203125" style="3" bestFit="1" customWidth="1"/>
    <col min="25" max="25" width="9.88671875" style="3" bestFit="1" customWidth="1"/>
    <col min="26" max="26" width="10.88671875" style="3" bestFit="1" customWidth="1"/>
    <col min="27" max="29" width="9.109375" style="3"/>
    <col min="30" max="30" width="9.6640625" style="3" bestFit="1" customWidth="1"/>
    <col min="31" max="16384" width="9.109375" style="3"/>
  </cols>
  <sheetData>
    <row r="2" spans="2:20" s="9" customFormat="1" ht="21" x14ac:dyDescent="0.35">
      <c r="B2" s="10" t="s">
        <v>11</v>
      </c>
    </row>
    <row r="3" spans="2:20" ht="30" x14ac:dyDescent="0.25">
      <c r="B3" s="43" t="s">
        <v>31</v>
      </c>
      <c r="C3" s="43" t="s">
        <v>0</v>
      </c>
      <c r="D3" s="43" t="s">
        <v>1</v>
      </c>
      <c r="E3" s="43" t="s">
        <v>28</v>
      </c>
      <c r="F3" s="2" t="s">
        <v>29</v>
      </c>
      <c r="G3" s="2" t="s">
        <v>6</v>
      </c>
      <c r="H3" s="43" t="s">
        <v>2</v>
      </c>
      <c r="I3" s="43" t="s">
        <v>3</v>
      </c>
      <c r="J3" s="43" t="s">
        <v>4</v>
      </c>
      <c r="K3" s="43" t="s">
        <v>9</v>
      </c>
      <c r="L3" s="43" t="s">
        <v>8</v>
      </c>
      <c r="M3" s="43" t="s">
        <v>25</v>
      </c>
      <c r="N3" s="43" t="s">
        <v>7</v>
      </c>
      <c r="O3" s="43" t="s">
        <v>89</v>
      </c>
      <c r="P3" s="25"/>
      <c r="Q3" s="43" t="s">
        <v>5</v>
      </c>
      <c r="R3" s="43" t="s">
        <v>91</v>
      </c>
      <c r="T3" s="43" t="s">
        <v>10</v>
      </c>
    </row>
    <row r="4" spans="2:20" ht="15" x14ac:dyDescent="0.25">
      <c r="B4" s="3">
        <v>2016</v>
      </c>
      <c r="C4" s="74">
        <f>'HC-BC'!C4</f>
        <v>36060</v>
      </c>
      <c r="D4" s="74">
        <f>'HC-BC'!D4</f>
        <v>1860</v>
      </c>
      <c r="E4" s="74">
        <f>'HC-BC'!E4</f>
        <v>424.6</v>
      </c>
      <c r="F4" s="74">
        <f>'HC-BC'!F4</f>
        <v>3419</v>
      </c>
      <c r="G4" s="74">
        <f>'HC-BC'!G4</f>
        <v>2179</v>
      </c>
      <c r="H4" s="74">
        <f>'HC-BC'!H4</f>
        <v>1306</v>
      </c>
      <c r="I4" s="74">
        <f>'HC-BC'!I4</f>
        <v>200</v>
      </c>
      <c r="J4" s="74">
        <f>'HC-BC'!J4</f>
        <v>1479</v>
      </c>
      <c r="K4" s="74">
        <f>'HC-BC'!K4</f>
        <v>0</v>
      </c>
      <c r="L4" s="74">
        <f>'HC-BC'!L4</f>
        <v>264</v>
      </c>
      <c r="M4" s="74">
        <f>'HC-BC'!M4</f>
        <v>0</v>
      </c>
      <c r="N4" s="74">
        <f>'HC-BC'!N4</f>
        <v>1580</v>
      </c>
      <c r="O4" s="74">
        <f>'HC-BC'!P4</f>
        <v>0</v>
      </c>
      <c r="P4" s="89"/>
      <c r="Q4" s="39">
        <f>G4+N4</f>
        <v>3759</v>
      </c>
      <c r="R4" s="5">
        <f>SUM(K4:L4)</f>
        <v>264</v>
      </c>
      <c r="T4" s="5">
        <f>SUM(C4:O4)</f>
        <v>48771.6</v>
      </c>
    </row>
    <row r="5" spans="2:20" ht="15" x14ac:dyDescent="0.25">
      <c r="B5" s="3">
        <v>2030</v>
      </c>
      <c r="C5" s="74">
        <f>'HC-BC'!C5</f>
        <v>23080</v>
      </c>
      <c r="D5" s="74">
        <f>'HC-BC'!D5</f>
        <v>1860</v>
      </c>
      <c r="E5" s="74">
        <f>'HC-BC'!E5</f>
        <v>424.6</v>
      </c>
      <c r="F5" s="74">
        <f>'HC-BC'!F5</f>
        <v>3077</v>
      </c>
      <c r="G5" s="74">
        <f>'HC-BC'!G5</f>
        <v>2179</v>
      </c>
      <c r="H5" s="74">
        <f>'HC-BC'!H5</f>
        <v>1306</v>
      </c>
      <c r="I5" s="74">
        <f>'HC-BC'!I5</f>
        <v>200</v>
      </c>
      <c r="J5" s="74">
        <f>'HC-BC'!J5</f>
        <v>1479</v>
      </c>
      <c r="K5" s="74">
        <f>'HC-BC'!K5</f>
        <v>0</v>
      </c>
      <c r="L5" s="74">
        <f>'HC-BC'!L5</f>
        <v>264</v>
      </c>
      <c r="M5" s="74">
        <f>'HC-BC'!M5</f>
        <v>0</v>
      </c>
      <c r="N5" s="74">
        <f>'HC-BC'!N5</f>
        <v>1580</v>
      </c>
      <c r="O5" s="74">
        <f>'HC-BC'!P5</f>
        <v>0</v>
      </c>
      <c r="P5" s="89"/>
      <c r="Q5" s="39">
        <f>G5+N5</f>
        <v>3759</v>
      </c>
      <c r="R5" s="5">
        <f>SUM(K5:L5)</f>
        <v>264</v>
      </c>
      <c r="T5" s="5">
        <f t="shared" ref="T5:T7" si="0">SUM(C5:O5)</f>
        <v>35449.599999999999</v>
      </c>
    </row>
    <row r="6" spans="2:20" ht="15" x14ac:dyDescent="0.25">
      <c r="B6" s="3">
        <v>2040</v>
      </c>
      <c r="C6" s="74">
        <f>'HC-BC'!C6</f>
        <v>7660</v>
      </c>
      <c r="D6" s="74">
        <f>'HC-BC'!D6</f>
        <v>1860</v>
      </c>
      <c r="E6" s="74">
        <f>'HC-BC'!E6</f>
        <v>424.6</v>
      </c>
      <c r="F6" s="74">
        <f>'HC-BC'!F6</f>
        <v>1005</v>
      </c>
      <c r="G6" s="74">
        <f>'HC-BC'!G6</f>
        <v>2179</v>
      </c>
      <c r="H6" s="74">
        <f>'HC-BC'!H6</f>
        <v>0</v>
      </c>
      <c r="I6" s="74">
        <f>'HC-BC'!I6</f>
        <v>200</v>
      </c>
      <c r="J6" s="74">
        <f>'HC-BC'!J6</f>
        <v>435</v>
      </c>
      <c r="K6" s="74">
        <f>'HC-BC'!K6</f>
        <v>0</v>
      </c>
      <c r="L6" s="74">
        <f>'HC-BC'!L6</f>
        <v>264</v>
      </c>
      <c r="M6" s="74">
        <f>'HC-BC'!M6</f>
        <v>0</v>
      </c>
      <c r="N6" s="74">
        <f>'HC-BC'!N6</f>
        <v>1580</v>
      </c>
      <c r="O6" s="74">
        <f>'HC-BC'!P6</f>
        <v>0</v>
      </c>
      <c r="P6" s="89"/>
      <c r="Q6" s="39">
        <f>G6+N6</f>
        <v>3759</v>
      </c>
      <c r="R6" s="5">
        <f>SUM(K6:L6)</f>
        <v>264</v>
      </c>
      <c r="T6" s="5">
        <f t="shared" si="0"/>
        <v>15607.6</v>
      </c>
    </row>
    <row r="7" spans="2:20" ht="15" x14ac:dyDescent="0.25">
      <c r="B7" s="3">
        <v>2050</v>
      </c>
      <c r="C7" s="74">
        <f>'HC-BC'!C7</f>
        <v>670</v>
      </c>
      <c r="D7" s="74">
        <f>'HC-BC'!D7</f>
        <v>0</v>
      </c>
      <c r="E7" s="74">
        <f>'HC-BC'!E7</f>
        <v>424.6</v>
      </c>
      <c r="F7" s="74">
        <f>'HC-BC'!F7</f>
        <v>0</v>
      </c>
      <c r="G7" s="74">
        <f>'HC-BC'!G7</f>
        <v>2179</v>
      </c>
      <c r="H7" s="74">
        <f>'HC-BC'!H7</f>
        <v>0</v>
      </c>
      <c r="I7" s="74">
        <f>'HC-BC'!I7</f>
        <v>0</v>
      </c>
      <c r="J7" s="74">
        <f>'HC-BC'!J7</f>
        <v>0</v>
      </c>
      <c r="K7" s="74">
        <f>'HC-BC'!K7</f>
        <v>0</v>
      </c>
      <c r="L7" s="74">
        <f>'HC-BC'!L7</f>
        <v>264</v>
      </c>
      <c r="M7" s="74">
        <f>'HC-BC'!M7</f>
        <v>0</v>
      </c>
      <c r="N7" s="74">
        <f>'HC-BC'!N7</f>
        <v>1580</v>
      </c>
      <c r="O7" s="74">
        <f>'HC-BC'!P7</f>
        <v>0</v>
      </c>
      <c r="P7" s="89"/>
      <c r="Q7" s="39">
        <f>G7+N7</f>
        <v>3759</v>
      </c>
      <c r="R7" s="5">
        <f>SUM(K7:L7)</f>
        <v>264</v>
      </c>
      <c r="T7" s="5">
        <f t="shared" si="0"/>
        <v>5117.6000000000004</v>
      </c>
    </row>
    <row r="9" spans="2:20" ht="30" x14ac:dyDescent="0.25">
      <c r="B9" s="43" t="s">
        <v>30</v>
      </c>
      <c r="C9" s="43" t="s">
        <v>0</v>
      </c>
      <c r="D9" s="43" t="s">
        <v>1</v>
      </c>
      <c r="E9" s="43" t="s">
        <v>28</v>
      </c>
      <c r="F9" s="2" t="s">
        <v>29</v>
      </c>
      <c r="G9" s="2" t="s">
        <v>6</v>
      </c>
      <c r="H9" s="43" t="s">
        <v>2</v>
      </c>
      <c r="I9" s="43" t="s">
        <v>3</v>
      </c>
      <c r="J9" s="43" t="s">
        <v>4</v>
      </c>
      <c r="K9" s="43" t="s">
        <v>9</v>
      </c>
      <c r="L9" s="43" t="s">
        <v>8</v>
      </c>
      <c r="M9" s="43" t="s">
        <v>25</v>
      </c>
      <c r="N9" s="43" t="s">
        <v>7</v>
      </c>
      <c r="O9" s="43" t="s">
        <v>89</v>
      </c>
      <c r="P9" s="25"/>
      <c r="Q9" s="43" t="s">
        <v>5</v>
      </c>
      <c r="R9" s="43" t="s">
        <v>91</v>
      </c>
      <c r="T9" s="43" t="s">
        <v>10</v>
      </c>
    </row>
    <row r="10" spans="2:20" ht="15" x14ac:dyDescent="0.25">
      <c r="B10" s="3">
        <v>2016</v>
      </c>
      <c r="C10" s="74">
        <f>'HC-BC'!C10</f>
        <v>722</v>
      </c>
      <c r="D10" s="74">
        <f>'HC-BC'!D10</f>
        <v>0</v>
      </c>
      <c r="E10" s="74">
        <f>'HC-BC'!E10</f>
        <v>0</v>
      </c>
      <c r="F10" s="74">
        <f>'HC-BC'!F10</f>
        <v>0</v>
      </c>
      <c r="G10" s="74">
        <f>'HC-BC'!G10</f>
        <v>0</v>
      </c>
      <c r="H10" s="74">
        <f>'HC-BC'!H10</f>
        <v>154</v>
      </c>
      <c r="I10" s="74">
        <f>'HC-BC'!I10</f>
        <v>0</v>
      </c>
      <c r="J10" s="74">
        <f>'HC-BC'!J10</f>
        <v>0</v>
      </c>
      <c r="K10" s="74">
        <f>'HC-BC'!K10</f>
        <v>0</v>
      </c>
      <c r="L10" s="74">
        <f>'HC-BC'!L10</f>
        <v>0</v>
      </c>
      <c r="M10" s="74">
        <f>'HC-BC'!M10</f>
        <v>0</v>
      </c>
      <c r="N10" s="74">
        <f>'HC-BC'!N10</f>
        <v>0</v>
      </c>
      <c r="O10" s="74">
        <f>'HC-BC'!P10</f>
        <v>0</v>
      </c>
      <c r="P10" s="89"/>
      <c r="Q10" s="39">
        <f>G10+N10</f>
        <v>0</v>
      </c>
      <c r="R10" s="5">
        <f>SUM(K10:L10)</f>
        <v>0</v>
      </c>
      <c r="T10" s="5">
        <f>SUM(C10:O10)</f>
        <v>876</v>
      </c>
    </row>
    <row r="11" spans="2:20" ht="15" x14ac:dyDescent="0.25">
      <c r="B11" s="3">
        <v>2030</v>
      </c>
      <c r="C11" s="74">
        <f>'HC-BC'!C11</f>
        <v>9536</v>
      </c>
      <c r="D11" s="74">
        <f>'HC-BC'!D11</f>
        <v>0</v>
      </c>
      <c r="E11" s="74">
        <f>'HC-BC'!E11</f>
        <v>0</v>
      </c>
      <c r="F11" s="74">
        <f>'HC-BC'!F11</f>
        <v>0</v>
      </c>
      <c r="G11" s="74">
        <f>'HC-BC'!G11</f>
        <v>45</v>
      </c>
      <c r="H11" s="74">
        <f>'HC-BC'!H11</f>
        <v>2800</v>
      </c>
      <c r="I11" s="74">
        <f>'HC-BC'!I11</f>
        <v>850</v>
      </c>
      <c r="J11" s="74">
        <f>'HC-BC'!J11</f>
        <v>1332</v>
      </c>
      <c r="K11" s="74">
        <f>'HC-BC'!K11</f>
        <v>53</v>
      </c>
      <c r="L11" s="74">
        <f>'HC-BC'!L11</f>
        <v>153</v>
      </c>
      <c r="M11" s="74">
        <f>'HC-BC'!M11</f>
        <v>0</v>
      </c>
      <c r="N11" s="74">
        <f>'HC-BC'!N11</f>
        <v>1332</v>
      </c>
      <c r="O11" s="74">
        <f>'HC-BC'!P11</f>
        <v>0</v>
      </c>
      <c r="P11" s="89"/>
      <c r="Q11" s="39">
        <f>G11+N11</f>
        <v>1377</v>
      </c>
      <c r="R11" s="5">
        <f>SUM(K11:L11)</f>
        <v>206</v>
      </c>
      <c r="T11" s="5">
        <f t="shared" ref="T11:T13" si="1">SUM(C11:O11)</f>
        <v>16101</v>
      </c>
    </row>
    <row r="12" spans="2:20" ht="15" x14ac:dyDescent="0.25">
      <c r="B12" s="3">
        <v>2040</v>
      </c>
      <c r="C12" s="74">
        <f>'HC-BC'!C12</f>
        <v>9536</v>
      </c>
      <c r="D12" s="74">
        <f>'HC-BC'!D12</f>
        <v>0</v>
      </c>
      <c r="E12" s="74">
        <f>'HC-BC'!E12</f>
        <v>0</v>
      </c>
      <c r="F12" s="74">
        <f>'HC-BC'!F12</f>
        <v>0</v>
      </c>
      <c r="G12" s="74">
        <f>'HC-BC'!G12</f>
        <v>45</v>
      </c>
      <c r="H12" s="74">
        <f>'HC-BC'!H12</f>
        <v>0</v>
      </c>
      <c r="I12" s="74">
        <f>'HC-BC'!I12</f>
        <v>850</v>
      </c>
      <c r="J12" s="74">
        <f>'HC-BC'!J12</f>
        <v>1332</v>
      </c>
      <c r="K12" s="74">
        <f>'HC-BC'!K12</f>
        <v>53</v>
      </c>
      <c r="L12" s="74">
        <f>'HC-BC'!L12</f>
        <v>153</v>
      </c>
      <c r="M12" s="74">
        <f>'HC-BC'!M12</f>
        <v>0</v>
      </c>
      <c r="N12" s="74">
        <f>'HC-BC'!N12</f>
        <v>1332</v>
      </c>
      <c r="O12" s="74">
        <f>'HC-BC'!P12</f>
        <v>0</v>
      </c>
      <c r="P12" s="89"/>
      <c r="Q12" s="39">
        <f>G12+N12</f>
        <v>1377</v>
      </c>
      <c r="R12" s="5">
        <f>SUM(K12:L12)</f>
        <v>206</v>
      </c>
      <c r="T12" s="5">
        <f t="shared" si="1"/>
        <v>13301</v>
      </c>
    </row>
    <row r="13" spans="2:20" ht="15" x14ac:dyDescent="0.25">
      <c r="B13" s="3">
        <v>2050</v>
      </c>
      <c r="C13" s="74">
        <f>'HC-BC'!C13</f>
        <v>9536</v>
      </c>
      <c r="D13" s="74">
        <f>'HC-BC'!D13</f>
        <v>0</v>
      </c>
      <c r="E13" s="74">
        <f>'HC-BC'!E13</f>
        <v>0</v>
      </c>
      <c r="F13" s="74">
        <f>'HC-BC'!F13</f>
        <v>0</v>
      </c>
      <c r="G13" s="74">
        <f>'HC-BC'!G13</f>
        <v>45</v>
      </c>
      <c r="H13" s="74">
        <f>'HC-BC'!H13</f>
        <v>0</v>
      </c>
      <c r="I13" s="74">
        <f>'HC-BC'!I13</f>
        <v>0</v>
      </c>
      <c r="J13" s="74">
        <f>'HC-BC'!J13</f>
        <v>0</v>
      </c>
      <c r="K13" s="74">
        <f>'HC-BC'!K13</f>
        <v>0</v>
      </c>
      <c r="L13" s="74">
        <f>'HC-BC'!L13</f>
        <v>0</v>
      </c>
      <c r="M13" s="74">
        <f>'HC-BC'!M13</f>
        <v>0</v>
      </c>
      <c r="N13" s="74">
        <f>'HC-BC'!N13</f>
        <v>1332</v>
      </c>
      <c r="O13" s="74">
        <f>'HC-BC'!P13</f>
        <v>0</v>
      </c>
      <c r="P13" s="89"/>
      <c r="Q13" s="39">
        <f>G13+N13</f>
        <v>1377</v>
      </c>
      <c r="R13" s="5">
        <f>SUM(K13:L13)</f>
        <v>0</v>
      </c>
      <c r="T13" s="5">
        <f t="shared" si="1"/>
        <v>10913</v>
      </c>
    </row>
    <row r="15" spans="2:20" ht="30" x14ac:dyDescent="0.25">
      <c r="B15" s="43" t="s">
        <v>32</v>
      </c>
      <c r="C15" s="43" t="s">
        <v>0</v>
      </c>
      <c r="D15" s="43" t="s">
        <v>1</v>
      </c>
      <c r="E15" s="43" t="s">
        <v>28</v>
      </c>
      <c r="F15" s="2" t="s">
        <v>29</v>
      </c>
      <c r="G15" s="2" t="s">
        <v>6</v>
      </c>
      <c r="H15" s="43" t="s">
        <v>2</v>
      </c>
      <c r="I15" s="43" t="s">
        <v>3</v>
      </c>
      <c r="J15" s="43" t="s">
        <v>4</v>
      </c>
      <c r="K15" s="43" t="s">
        <v>9</v>
      </c>
      <c r="L15" s="43" t="s">
        <v>8</v>
      </c>
      <c r="M15" s="43" t="s">
        <v>25</v>
      </c>
      <c r="N15" s="43" t="s">
        <v>7</v>
      </c>
      <c r="O15" s="43" t="s">
        <v>89</v>
      </c>
      <c r="P15" s="25"/>
      <c r="Q15" s="43" t="s">
        <v>5</v>
      </c>
      <c r="R15" s="43" t="s">
        <v>91</v>
      </c>
      <c r="T15" s="43" t="s">
        <v>10</v>
      </c>
    </row>
    <row r="16" spans="2:20" ht="15" x14ac:dyDescent="0.25">
      <c r="B16" s="3">
        <v>2016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89"/>
      <c r="Q16" s="39">
        <f>G16+N16</f>
        <v>0</v>
      </c>
      <c r="R16" s="5">
        <f>SUM(K16:L16)</f>
        <v>0</v>
      </c>
      <c r="T16" s="5">
        <f>SUM(C16:O16)</f>
        <v>0</v>
      </c>
    </row>
    <row r="17" spans="1:23" ht="15" x14ac:dyDescent="0.25">
      <c r="B17" s="3">
        <v>2030</v>
      </c>
      <c r="C17" s="44">
        <v>0</v>
      </c>
      <c r="D17" s="44">
        <v>0</v>
      </c>
      <c r="E17" s="44">
        <v>3660</v>
      </c>
      <c r="F17" s="44">
        <v>5940</v>
      </c>
      <c r="G17" s="44">
        <v>0</v>
      </c>
      <c r="H17" s="44">
        <v>11200</v>
      </c>
      <c r="I17" s="44">
        <v>0</v>
      </c>
      <c r="J17" s="44">
        <v>2900</v>
      </c>
      <c r="K17" s="44">
        <v>250</v>
      </c>
      <c r="L17" s="44">
        <v>0</v>
      </c>
      <c r="M17" s="44">
        <v>0</v>
      </c>
      <c r="N17" s="44">
        <v>333</v>
      </c>
      <c r="O17" s="44">
        <v>6</v>
      </c>
      <c r="P17" s="89"/>
      <c r="Q17" s="39">
        <f>G17+N17</f>
        <v>333</v>
      </c>
      <c r="R17" s="5">
        <f>SUM(K17:L17)</f>
        <v>250</v>
      </c>
      <c r="T17" s="5">
        <f t="shared" ref="T17:T19" si="2">SUM(C17:O17)</f>
        <v>24289</v>
      </c>
    </row>
    <row r="18" spans="1:23" ht="15" x14ac:dyDescent="0.25">
      <c r="B18" s="3">
        <v>2040</v>
      </c>
      <c r="C18" s="44">
        <v>0</v>
      </c>
      <c r="D18" s="44">
        <v>0</v>
      </c>
      <c r="E18" s="44">
        <v>9516</v>
      </c>
      <c r="F18" s="44">
        <v>17292</v>
      </c>
      <c r="G18" s="44">
        <v>2500</v>
      </c>
      <c r="H18" s="44">
        <v>40500</v>
      </c>
      <c r="I18" s="44">
        <v>0</v>
      </c>
      <c r="J18" s="44">
        <v>18400</v>
      </c>
      <c r="K18" s="44">
        <v>265</v>
      </c>
      <c r="L18" s="44">
        <v>0</v>
      </c>
      <c r="M18" s="44">
        <v>0</v>
      </c>
      <c r="N18" s="44">
        <v>333</v>
      </c>
      <c r="O18" s="44">
        <v>6</v>
      </c>
      <c r="P18" s="89"/>
      <c r="Q18" s="39">
        <f>G18+N18</f>
        <v>2833</v>
      </c>
      <c r="R18" s="5">
        <f>SUM(K18:L18)</f>
        <v>265</v>
      </c>
      <c r="T18" s="5">
        <f t="shared" si="2"/>
        <v>88812</v>
      </c>
    </row>
    <row r="19" spans="1:23" ht="15" x14ac:dyDescent="0.25">
      <c r="B19" s="3">
        <v>2050</v>
      </c>
      <c r="C19" s="44">
        <v>3750</v>
      </c>
      <c r="D19" s="44">
        <v>0</v>
      </c>
      <c r="E19" s="44">
        <v>12444</v>
      </c>
      <c r="F19" s="44">
        <v>23364</v>
      </c>
      <c r="G19" s="44">
        <v>2500</v>
      </c>
      <c r="H19" s="44">
        <v>56400</v>
      </c>
      <c r="I19" s="44">
        <v>0</v>
      </c>
      <c r="J19" s="44">
        <v>30400</v>
      </c>
      <c r="K19" s="44">
        <v>265</v>
      </c>
      <c r="L19" s="44">
        <v>0</v>
      </c>
      <c r="M19" s="44">
        <v>0</v>
      </c>
      <c r="N19" s="44">
        <v>333</v>
      </c>
      <c r="O19" s="44">
        <v>6</v>
      </c>
      <c r="P19" s="89"/>
      <c r="Q19" s="39">
        <f>G19+N19</f>
        <v>2833</v>
      </c>
      <c r="R19" s="5">
        <f>SUM(K19:L19)</f>
        <v>265</v>
      </c>
      <c r="T19" s="5">
        <f t="shared" si="2"/>
        <v>129462</v>
      </c>
    </row>
    <row r="21" spans="1:23" ht="30" x14ac:dyDescent="0.25">
      <c r="B21" s="43" t="s">
        <v>33</v>
      </c>
      <c r="C21" s="43" t="s">
        <v>0</v>
      </c>
      <c r="D21" s="43" t="s">
        <v>1</v>
      </c>
      <c r="E21" s="43" t="s">
        <v>28</v>
      </c>
      <c r="F21" s="2" t="s">
        <v>29</v>
      </c>
      <c r="G21" s="2" t="s">
        <v>6</v>
      </c>
      <c r="H21" s="43" t="s">
        <v>2</v>
      </c>
      <c r="I21" s="43" t="s">
        <v>3</v>
      </c>
      <c r="J21" s="43" t="s">
        <v>4</v>
      </c>
      <c r="K21" s="43" t="s">
        <v>9</v>
      </c>
      <c r="L21" s="43" t="s">
        <v>8</v>
      </c>
      <c r="M21" s="43" t="s">
        <v>25</v>
      </c>
      <c r="N21" s="43" t="s">
        <v>7</v>
      </c>
      <c r="O21" s="43" t="s">
        <v>89</v>
      </c>
      <c r="P21" s="25"/>
      <c r="Q21" s="43" t="s">
        <v>5</v>
      </c>
      <c r="R21" s="43" t="s">
        <v>91</v>
      </c>
      <c r="T21" s="43" t="s">
        <v>10</v>
      </c>
      <c r="V21" s="25"/>
      <c r="W21" s="25"/>
    </row>
    <row r="22" spans="1:23" ht="15" x14ac:dyDescent="0.25">
      <c r="A22" s="39">
        <f>C22-C16</f>
        <v>36782</v>
      </c>
      <c r="B22" s="3">
        <v>2016</v>
      </c>
      <c r="C22" s="50">
        <f>C4+C10+C16</f>
        <v>36782</v>
      </c>
      <c r="D22" s="50">
        <f t="shared" ref="D22:O25" si="3">D4+D10+D16</f>
        <v>1860</v>
      </c>
      <c r="E22" s="50">
        <f t="shared" si="3"/>
        <v>424.6</v>
      </c>
      <c r="F22" s="50">
        <f t="shared" si="3"/>
        <v>3419</v>
      </c>
      <c r="G22" s="50">
        <f t="shared" si="3"/>
        <v>2179</v>
      </c>
      <c r="H22" s="50">
        <f t="shared" si="3"/>
        <v>1460</v>
      </c>
      <c r="I22" s="50">
        <f t="shared" si="3"/>
        <v>200</v>
      </c>
      <c r="J22" s="50">
        <f t="shared" si="3"/>
        <v>1479</v>
      </c>
      <c r="K22" s="50">
        <f t="shared" si="3"/>
        <v>0</v>
      </c>
      <c r="L22" s="50">
        <f t="shared" si="3"/>
        <v>264</v>
      </c>
      <c r="M22" s="50">
        <f t="shared" si="3"/>
        <v>0</v>
      </c>
      <c r="N22" s="50">
        <f t="shared" si="3"/>
        <v>1580</v>
      </c>
      <c r="O22" s="50">
        <f t="shared" si="3"/>
        <v>0</v>
      </c>
      <c r="P22" s="56"/>
      <c r="Q22" s="39">
        <f>G22+N22</f>
        <v>3759</v>
      </c>
      <c r="R22" s="5">
        <f>SUM(K22:L22)</f>
        <v>264</v>
      </c>
      <c r="T22" s="5">
        <f>SUM(C22:O22)</f>
        <v>49647.6</v>
      </c>
      <c r="V22" s="24"/>
      <c r="W22" s="26"/>
    </row>
    <row r="23" spans="1:23" ht="15" x14ac:dyDescent="0.25">
      <c r="A23" s="39">
        <f t="shared" ref="A23:A25" si="4">C23-C17</f>
        <v>32616</v>
      </c>
      <c r="B23" s="3">
        <v>2030</v>
      </c>
      <c r="C23" s="50">
        <f t="shared" ref="C23:N25" si="5">C5+C11+C17</f>
        <v>32616</v>
      </c>
      <c r="D23" s="50">
        <f t="shared" si="5"/>
        <v>1860</v>
      </c>
      <c r="E23" s="50">
        <f t="shared" si="5"/>
        <v>4084.6</v>
      </c>
      <c r="F23" s="50">
        <f t="shared" si="5"/>
        <v>9017</v>
      </c>
      <c r="G23" s="50">
        <f t="shared" si="5"/>
        <v>2224</v>
      </c>
      <c r="H23" s="50">
        <f t="shared" si="5"/>
        <v>15306</v>
      </c>
      <c r="I23" s="50">
        <f t="shared" si="5"/>
        <v>1050</v>
      </c>
      <c r="J23" s="50">
        <f t="shared" si="5"/>
        <v>5711</v>
      </c>
      <c r="K23" s="50">
        <f t="shared" si="5"/>
        <v>303</v>
      </c>
      <c r="L23" s="50">
        <f t="shared" si="5"/>
        <v>417</v>
      </c>
      <c r="M23" s="50">
        <f t="shared" si="5"/>
        <v>0</v>
      </c>
      <c r="N23" s="50">
        <f t="shared" si="5"/>
        <v>3245</v>
      </c>
      <c r="O23" s="50">
        <f t="shared" si="3"/>
        <v>6</v>
      </c>
      <c r="P23" s="56"/>
      <c r="Q23" s="39">
        <f>G23+N23</f>
        <v>5469</v>
      </c>
      <c r="R23" s="5">
        <f>SUM(K23:L23)</f>
        <v>720</v>
      </c>
      <c r="T23" s="5">
        <f t="shared" ref="T23:T25" si="6">SUM(C23:O23)</f>
        <v>75839.600000000006</v>
      </c>
      <c r="V23" s="24"/>
      <c r="W23" s="26"/>
    </row>
    <row r="24" spans="1:23" ht="15" x14ac:dyDescent="0.25">
      <c r="A24" s="39">
        <f t="shared" si="4"/>
        <v>17196</v>
      </c>
      <c r="B24" s="3">
        <v>2040</v>
      </c>
      <c r="C24" s="50">
        <f t="shared" si="5"/>
        <v>17196</v>
      </c>
      <c r="D24" s="50">
        <f t="shared" si="5"/>
        <v>1860</v>
      </c>
      <c r="E24" s="50">
        <f t="shared" si="5"/>
        <v>9940.6</v>
      </c>
      <c r="F24" s="50">
        <f t="shared" si="5"/>
        <v>18297</v>
      </c>
      <c r="G24" s="50">
        <f t="shared" si="5"/>
        <v>4724</v>
      </c>
      <c r="H24" s="50">
        <f t="shared" si="5"/>
        <v>40500</v>
      </c>
      <c r="I24" s="50">
        <f t="shared" si="5"/>
        <v>1050</v>
      </c>
      <c r="J24" s="50">
        <f t="shared" si="5"/>
        <v>20167</v>
      </c>
      <c r="K24" s="50">
        <f t="shared" si="5"/>
        <v>318</v>
      </c>
      <c r="L24" s="50">
        <f t="shared" si="5"/>
        <v>417</v>
      </c>
      <c r="M24" s="50">
        <f t="shared" si="5"/>
        <v>0</v>
      </c>
      <c r="N24" s="50">
        <f t="shared" si="5"/>
        <v>3245</v>
      </c>
      <c r="O24" s="50">
        <f t="shared" si="3"/>
        <v>6</v>
      </c>
      <c r="P24" s="56"/>
      <c r="Q24" s="39">
        <f>G24+N24</f>
        <v>7969</v>
      </c>
      <c r="R24" s="5">
        <f>SUM(K24:L24)</f>
        <v>735</v>
      </c>
      <c r="T24" s="5">
        <f t="shared" si="6"/>
        <v>117720.6</v>
      </c>
      <c r="V24" s="24"/>
      <c r="W24" s="26"/>
    </row>
    <row r="25" spans="1:23" x14ac:dyDescent="0.3">
      <c r="A25" s="39">
        <f t="shared" si="4"/>
        <v>10206</v>
      </c>
      <c r="B25" s="3">
        <v>2050</v>
      </c>
      <c r="C25" s="50">
        <f t="shared" si="5"/>
        <v>13956</v>
      </c>
      <c r="D25" s="50">
        <f t="shared" si="5"/>
        <v>0</v>
      </c>
      <c r="E25" s="50">
        <f t="shared" si="5"/>
        <v>12868.6</v>
      </c>
      <c r="F25" s="50">
        <f t="shared" si="5"/>
        <v>23364</v>
      </c>
      <c r="G25" s="50">
        <f t="shared" si="5"/>
        <v>4724</v>
      </c>
      <c r="H25" s="50">
        <f t="shared" si="5"/>
        <v>56400</v>
      </c>
      <c r="I25" s="50">
        <f t="shared" si="5"/>
        <v>0</v>
      </c>
      <c r="J25" s="50">
        <f t="shared" si="5"/>
        <v>30400</v>
      </c>
      <c r="K25" s="50">
        <f t="shared" si="5"/>
        <v>265</v>
      </c>
      <c r="L25" s="50">
        <f t="shared" si="5"/>
        <v>264</v>
      </c>
      <c r="M25" s="50">
        <f t="shared" si="5"/>
        <v>0</v>
      </c>
      <c r="N25" s="50">
        <f t="shared" si="5"/>
        <v>3245</v>
      </c>
      <c r="O25" s="50">
        <f t="shared" si="3"/>
        <v>6</v>
      </c>
      <c r="P25" s="56"/>
      <c r="Q25" s="39">
        <f>G25+N25</f>
        <v>7969</v>
      </c>
      <c r="R25" s="5">
        <f>SUM(K25:L25)</f>
        <v>529</v>
      </c>
      <c r="T25" s="5">
        <f t="shared" si="6"/>
        <v>145492.6</v>
      </c>
      <c r="V25" s="24"/>
      <c r="W25" s="26"/>
    </row>
    <row r="26" spans="1:23" x14ac:dyDescent="0.3">
      <c r="A26" s="39"/>
      <c r="V26" s="11"/>
      <c r="W26" s="11"/>
    </row>
    <row r="27" spans="1:23" x14ac:dyDescent="0.3">
      <c r="A27" s="39"/>
      <c r="B27" s="3">
        <v>2016</v>
      </c>
      <c r="C27" s="23">
        <f t="shared" ref="C27:O27" si="7">C22/$T22</f>
        <v>0.74086159250396799</v>
      </c>
      <c r="D27" s="23">
        <f t="shared" si="7"/>
        <v>3.74640466004399E-2</v>
      </c>
      <c r="E27" s="23">
        <f t="shared" si="7"/>
        <v>8.5522764443799904E-3</v>
      </c>
      <c r="F27" s="23">
        <f t="shared" si="7"/>
        <v>6.8865363078980654E-2</v>
      </c>
      <c r="G27" s="23">
        <f t="shared" si="7"/>
        <v>4.3889332012020721E-2</v>
      </c>
      <c r="H27" s="23">
        <f t="shared" si="7"/>
        <v>2.9407262385291535E-2</v>
      </c>
      <c r="I27" s="23">
        <f t="shared" si="7"/>
        <v>4.0283921075741826E-3</v>
      </c>
      <c r="J27" s="23">
        <f t="shared" si="7"/>
        <v>2.9789959635511083E-2</v>
      </c>
      <c r="K27" s="23">
        <f t="shared" si="7"/>
        <v>0</v>
      </c>
      <c r="L27" s="23">
        <f t="shared" si="7"/>
        <v>5.3174775819979214E-3</v>
      </c>
      <c r="M27" s="23">
        <f t="shared" si="7"/>
        <v>0</v>
      </c>
      <c r="N27" s="23">
        <f t="shared" si="7"/>
        <v>3.1824297649836047E-2</v>
      </c>
      <c r="O27" s="23">
        <f t="shared" si="7"/>
        <v>0</v>
      </c>
      <c r="P27" s="26"/>
      <c r="Q27" s="7">
        <f t="shared" ref="Q27:R30" si="8">Q22/$T22</f>
        <v>7.5713629661856768E-2</v>
      </c>
      <c r="R27" s="7">
        <f t="shared" si="8"/>
        <v>5.3174775819979214E-3</v>
      </c>
      <c r="T27" s="8">
        <f>SUM(C27:O27)</f>
        <v>1</v>
      </c>
    </row>
    <row r="28" spans="1:23" x14ac:dyDescent="0.3">
      <c r="A28" s="39"/>
      <c r="B28" s="3">
        <v>2030</v>
      </c>
      <c r="C28" s="23">
        <f t="shared" ref="C28:O28" si="9">C23/$T23</f>
        <v>0.43006555941750746</v>
      </c>
      <c r="D28" s="23">
        <f t="shared" si="9"/>
        <v>2.4525445809313338E-2</v>
      </c>
      <c r="E28" s="23">
        <f t="shared" si="9"/>
        <v>5.3858406426194223E-2</v>
      </c>
      <c r="F28" s="23">
        <f t="shared" si="9"/>
        <v>0.11889566928095611</v>
      </c>
      <c r="G28" s="23">
        <f t="shared" si="9"/>
        <v>2.9325049182748853E-2</v>
      </c>
      <c r="H28" s="23">
        <f t="shared" si="9"/>
        <v>0.20182068470825268</v>
      </c>
      <c r="I28" s="23">
        <f t="shared" si="9"/>
        <v>1.3845009731063982E-2</v>
      </c>
      <c r="J28" s="23">
        <f t="shared" si="9"/>
        <v>7.5303667213434664E-2</v>
      </c>
      <c r="K28" s="23">
        <f t="shared" si="9"/>
        <v>3.9952742366784633E-3</v>
      </c>
      <c r="L28" s="23">
        <f t="shared" si="9"/>
        <v>5.4984467217654093E-3</v>
      </c>
      <c r="M28" s="23">
        <f t="shared" si="9"/>
        <v>0</v>
      </c>
      <c r="N28" s="23">
        <f t="shared" si="9"/>
        <v>4.2787672930764402E-2</v>
      </c>
      <c r="O28" s="23">
        <f t="shared" si="9"/>
        <v>7.9114341320365609E-5</v>
      </c>
      <c r="P28" s="26"/>
      <c r="Q28" s="7">
        <f t="shared" si="8"/>
        <v>7.2112722113513245E-2</v>
      </c>
      <c r="R28" s="7">
        <f t="shared" si="8"/>
        <v>9.4937209584438735E-3</v>
      </c>
      <c r="T28" s="8">
        <f t="shared" ref="T28:T30" si="10">SUM(C28:O28)</f>
        <v>0.99999999999999967</v>
      </c>
    </row>
    <row r="29" spans="1:23" x14ac:dyDescent="0.3">
      <c r="A29" s="39"/>
      <c r="B29" s="3">
        <v>2040</v>
      </c>
      <c r="C29" s="23">
        <f t="shared" ref="C29:O29" si="11">C24/$T24</f>
        <v>0.14607468871208606</v>
      </c>
      <c r="D29" s="23">
        <f t="shared" si="11"/>
        <v>1.5800123342898355E-2</v>
      </c>
      <c r="E29" s="23">
        <f t="shared" si="11"/>
        <v>8.4442315108825466E-2</v>
      </c>
      <c r="F29" s="23">
        <f t="shared" si="11"/>
        <v>0.15542734236828556</v>
      </c>
      <c r="G29" s="23">
        <f t="shared" si="11"/>
        <v>4.0128915414974098E-2</v>
      </c>
      <c r="H29" s="23">
        <f t="shared" si="11"/>
        <v>0.34403494375665772</v>
      </c>
      <c r="I29" s="23">
        <f t="shared" si="11"/>
        <v>8.9194244677652003E-3</v>
      </c>
      <c r="J29" s="23">
        <f t="shared" si="11"/>
        <v>0.17131241261087693</v>
      </c>
      <c r="K29" s="23">
        <f t="shared" si="11"/>
        <v>2.7013114102374604E-3</v>
      </c>
      <c r="L29" s="23">
        <f t="shared" si="11"/>
        <v>3.5422857171981794E-3</v>
      </c>
      <c r="M29" s="23">
        <f t="shared" si="11"/>
        <v>0</v>
      </c>
      <c r="N29" s="23">
        <f t="shared" si="11"/>
        <v>2.7565268950379116E-2</v>
      </c>
      <c r="O29" s="23">
        <f t="shared" si="11"/>
        <v>5.0968139815801139E-5</v>
      </c>
      <c r="P29" s="26"/>
      <c r="Q29" s="7">
        <f t="shared" si="8"/>
        <v>6.769418436535321E-2</v>
      </c>
      <c r="R29" s="7">
        <f t="shared" si="8"/>
        <v>6.2435971274356393E-3</v>
      </c>
      <c r="T29" s="8">
        <f t="shared" si="10"/>
        <v>0.99999999999999978</v>
      </c>
    </row>
    <row r="30" spans="1:23" x14ac:dyDescent="0.3">
      <c r="A30" s="39"/>
      <c r="B30" s="3">
        <v>2050</v>
      </c>
      <c r="C30" s="23">
        <f t="shared" ref="C30:O30" si="12">C25/$T25</f>
        <v>9.5922404300974748E-2</v>
      </c>
      <c r="D30" s="23">
        <f t="shared" si="12"/>
        <v>0</v>
      </c>
      <c r="E30" s="23">
        <f t="shared" si="12"/>
        <v>8.8448484665199473E-2</v>
      </c>
      <c r="F30" s="23">
        <f t="shared" si="12"/>
        <v>0.16058548682201018</v>
      </c>
      <c r="G30" s="23">
        <f t="shared" si="12"/>
        <v>3.2469005296489307E-2</v>
      </c>
      <c r="H30" s="23">
        <f t="shared" si="12"/>
        <v>0.38764858143988079</v>
      </c>
      <c r="I30" s="23">
        <f t="shared" si="12"/>
        <v>0</v>
      </c>
      <c r="J30" s="23">
        <f t="shared" si="12"/>
        <v>0.20894533467681517</v>
      </c>
      <c r="K30" s="23">
        <f t="shared" si="12"/>
        <v>1.8213984766235532E-3</v>
      </c>
      <c r="L30" s="23">
        <f t="shared" si="12"/>
        <v>1.8145252748249738E-3</v>
      </c>
      <c r="M30" s="23">
        <f t="shared" si="12"/>
        <v>0</v>
      </c>
      <c r="N30" s="23">
        <f t="shared" si="12"/>
        <v>2.2303539836390305E-2</v>
      </c>
      <c r="O30" s="23">
        <f t="shared" si="12"/>
        <v>4.1239210791476677E-5</v>
      </c>
      <c r="P30" s="26"/>
      <c r="Q30" s="7">
        <f t="shared" si="8"/>
        <v>5.4772545132879609E-2</v>
      </c>
      <c r="R30" s="7">
        <f t="shared" si="8"/>
        <v>3.6359237514485272E-3</v>
      </c>
      <c r="T30" s="8">
        <f t="shared" si="10"/>
        <v>1</v>
      </c>
    </row>
    <row r="31" spans="1:23" x14ac:dyDescent="0.3">
      <c r="A31" s="39"/>
    </row>
    <row r="32" spans="1:23" s="9" customFormat="1" ht="21" x14ac:dyDescent="0.4">
      <c r="A32" s="86"/>
      <c r="B32" s="10" t="s">
        <v>53</v>
      </c>
    </row>
    <row r="33" spans="1:37" ht="28.8" x14ac:dyDescent="0.3">
      <c r="A33" s="39"/>
      <c r="B33" s="43" t="s">
        <v>34</v>
      </c>
      <c r="C33" s="43" t="s">
        <v>0</v>
      </c>
      <c r="D33" s="43" t="s">
        <v>1</v>
      </c>
      <c r="E33" s="43" t="s">
        <v>28</v>
      </c>
      <c r="F33" s="2" t="s">
        <v>29</v>
      </c>
      <c r="G33" s="2" t="s">
        <v>6</v>
      </c>
      <c r="H33" s="43" t="s">
        <v>2</v>
      </c>
      <c r="I33" s="43" t="s">
        <v>3</v>
      </c>
      <c r="J33" s="43" t="s">
        <v>4</v>
      </c>
      <c r="K33" s="43" t="s">
        <v>9</v>
      </c>
      <c r="L33" s="43" t="s">
        <v>8</v>
      </c>
      <c r="M33" s="43" t="s">
        <v>25</v>
      </c>
      <c r="N33" s="43" t="s">
        <v>7</v>
      </c>
      <c r="O33" s="43" t="s">
        <v>89</v>
      </c>
      <c r="P33" s="25"/>
      <c r="Q33" s="43" t="s">
        <v>5</v>
      </c>
      <c r="R33" s="43" t="s">
        <v>91</v>
      </c>
      <c r="T33" s="43" t="s">
        <v>10</v>
      </c>
      <c r="X33" s="39"/>
      <c r="Y33" s="39"/>
      <c r="Z33" s="39"/>
    </row>
    <row r="34" spans="1:37" x14ac:dyDescent="0.3">
      <c r="A34" s="39"/>
      <c r="B34" s="3">
        <v>2016</v>
      </c>
      <c r="C34" s="50">
        <f>'HC-BC'!C34</f>
        <v>194808.80434990322</v>
      </c>
      <c r="D34" s="50">
        <f>'HC-BC'!D34</f>
        <v>14743.87884401034</v>
      </c>
      <c r="E34" s="50">
        <f>'HC-BC'!E34</f>
        <v>756.07675598824017</v>
      </c>
      <c r="F34" s="50">
        <f>'HC-BC'!F34</f>
        <v>2024.3136712665919</v>
      </c>
      <c r="G34" s="50">
        <f>'HC-BC'!G34</f>
        <v>15799.124268819065</v>
      </c>
      <c r="H34" s="50">
        <f>'HC-BC'!H34</f>
        <v>4022.2162852660199</v>
      </c>
      <c r="I34" s="50">
        <f>'HC-BC'!I34</f>
        <v>827.66992563012559</v>
      </c>
      <c r="J34" s="50">
        <f>'HC-BC'!J34</f>
        <v>2639.0862346009021</v>
      </c>
      <c r="K34" s="50">
        <f>'HC-BC'!K34</f>
        <v>0</v>
      </c>
      <c r="L34" s="50">
        <f>'HC-BC'!L34</f>
        <v>1583.7347303540462</v>
      </c>
      <c r="M34" s="50">
        <f>'HC-BC'!M34</f>
        <v>0</v>
      </c>
      <c r="N34" s="50">
        <f>'HC-BC'!N34</f>
        <v>2994.3929759978951</v>
      </c>
      <c r="O34" s="50">
        <f>'HC-BC'!P34</f>
        <v>0</v>
      </c>
      <c r="P34" s="56"/>
      <c r="Q34" s="39">
        <f>G34+N34</f>
        <v>18793.517244816961</v>
      </c>
      <c r="R34" s="5">
        <f>SUM(K34:L34)</f>
        <v>1583.7347303540462</v>
      </c>
      <c r="T34" s="5">
        <f>SUM(C34:O34)</f>
        <v>240199.29804183645</v>
      </c>
      <c r="X34" s="39"/>
      <c r="Y34" s="39"/>
      <c r="Z34" s="39"/>
      <c r="AA34" s="39"/>
      <c r="AB34" s="39"/>
    </row>
    <row r="35" spans="1:37" x14ac:dyDescent="0.3">
      <c r="A35" s="39"/>
      <c r="B35" s="3">
        <v>2030</v>
      </c>
      <c r="C35" s="44">
        <f>Y35*(Inputs_Summary!$M73/$Y53)</f>
        <v>129639.95033544919</v>
      </c>
      <c r="D35" s="102">
        <f>Z35*(Inputs_Summary!$M73/$Y53)</f>
        <v>14610.24900554661</v>
      </c>
      <c r="E35" s="102">
        <f>AA35*(Inputs_Summary!$M73/$Y53)</f>
        <v>2225.6048122104653</v>
      </c>
      <c r="F35" s="102">
        <f>AB35*(Inputs_Summary!$M73/$Y53)</f>
        <v>232.55632318239506</v>
      </c>
      <c r="G35" s="102">
        <f>AC35*(Inputs_Summary!$M73/$Y53)</f>
        <v>12526.421951767517</v>
      </c>
      <c r="H35" s="102">
        <f>AD35*(Inputs_Summary!$M73/$Y53)</f>
        <v>4187.0338011567183</v>
      </c>
      <c r="I35" s="102">
        <f>AE35*(Inputs_Summary!$M73/$Y53)</f>
        <v>841.4866957257716</v>
      </c>
      <c r="J35" s="102">
        <f>AF35*(Inputs_Summary!$M73/$Y53)</f>
        <v>2623.3985229171935</v>
      </c>
      <c r="K35" s="102">
        <f>AG35*(Inputs_Summary!$M73/$Y53)</f>
        <v>0</v>
      </c>
      <c r="L35" s="102">
        <f>AH35*(Inputs_Summary!$M73/$Y53)</f>
        <v>1589.1348750796997</v>
      </c>
      <c r="M35" s="102">
        <f>AI35*(Inputs_Summary!$M73/$Y53)</f>
        <v>0</v>
      </c>
      <c r="N35" s="102">
        <f>AJ35*(Inputs_Summary!$M73/$Y53)</f>
        <v>2614.2186680547306</v>
      </c>
      <c r="O35" s="102">
        <f>AK35*(Inputs_Summary!$M73/$Y53)</f>
        <v>0</v>
      </c>
      <c r="P35" s="56"/>
      <c r="Q35" s="39">
        <f>G35+N35</f>
        <v>15140.640619822248</v>
      </c>
      <c r="R35" s="5">
        <f>SUM(K35:L35)</f>
        <v>1589.1348750796997</v>
      </c>
      <c r="T35" s="5">
        <f t="shared" ref="T35:T37" si="13">SUM(C35:O35)</f>
        <v>171090.05499109026</v>
      </c>
      <c r="Y35" s="39">
        <v>127100</v>
      </c>
      <c r="Z35" s="39">
        <v>14324</v>
      </c>
      <c r="AA35" s="39">
        <v>2182</v>
      </c>
      <c r="AB35" s="39">
        <v>228</v>
      </c>
      <c r="AC35" s="39">
        <v>12281</v>
      </c>
      <c r="AD35" s="39">
        <v>4105</v>
      </c>
      <c r="AE35" s="3">
        <v>825</v>
      </c>
      <c r="AF35" s="39">
        <v>2572</v>
      </c>
      <c r="AG35" s="3">
        <v>0</v>
      </c>
      <c r="AH35" s="39">
        <v>1558</v>
      </c>
      <c r="AI35" s="3">
        <v>0</v>
      </c>
      <c r="AJ35" s="39">
        <v>2563</v>
      </c>
    </row>
    <row r="36" spans="1:37" x14ac:dyDescent="0.3">
      <c r="A36" s="39"/>
      <c r="B36" s="3">
        <v>2040</v>
      </c>
      <c r="C36" s="102">
        <f>Y36*(Inputs_Summary!$M74/$Y54)</f>
        <v>39049.691082730911</v>
      </c>
      <c r="D36" s="102">
        <f>Z36*(Inputs_Summary!$M74/$Y54)</f>
        <v>14321.40014223545</v>
      </c>
      <c r="E36" s="102">
        <f>AA36*(Inputs_Summary!$M74/$Y54)</f>
        <v>2260.5337437887947</v>
      </c>
      <c r="F36" s="102">
        <f>AB36*(Inputs_Summary!$M74/$Y54)</f>
        <v>76.321885618813141</v>
      </c>
      <c r="G36" s="102">
        <f>AC36*(Inputs_Summary!$M74/$Y54)</f>
        <v>12438.458885192364</v>
      </c>
      <c r="H36" s="102">
        <f>AD36*(Inputs_Summary!$M74/$Y54)</f>
        <v>0</v>
      </c>
      <c r="I36" s="102">
        <f>AE36*(Inputs_Summary!$M74/$Y54)</f>
        <v>844.56191849239281</v>
      </c>
      <c r="J36" s="102">
        <f>AF36*(Inputs_Summary!$M74/$Y54)</f>
        <v>776.27391557029682</v>
      </c>
      <c r="K36" s="102">
        <f>AG36*(Inputs_Summary!$M74/$Y54)</f>
        <v>0</v>
      </c>
      <c r="L36" s="102">
        <f>AH36*(Inputs_Summary!$M74/$Y54)</f>
        <v>1625.8570107481378</v>
      </c>
      <c r="M36" s="102">
        <f>AI36*(Inputs_Summary!$M74/$Y54)</f>
        <v>0</v>
      </c>
      <c r="N36" s="102">
        <f>AJ36*(Inputs_Summary!$M74/$Y54)</f>
        <v>2584.9017576687506</v>
      </c>
      <c r="O36" s="102">
        <f>AK36*(Inputs_Summary!$M74/$Y54)</f>
        <v>0</v>
      </c>
      <c r="P36" s="56"/>
      <c r="Q36" s="39">
        <f>G36+N36</f>
        <v>15023.360642861115</v>
      </c>
      <c r="R36" s="5">
        <f>SUM(K36:L36)</f>
        <v>1625.8570107481378</v>
      </c>
      <c r="T36" s="5">
        <f t="shared" si="13"/>
        <v>73978.000342045911</v>
      </c>
      <c r="Y36" s="39">
        <v>38885</v>
      </c>
      <c r="Z36" s="39">
        <v>14261</v>
      </c>
      <c r="AA36" s="39">
        <v>2251</v>
      </c>
      <c r="AB36" s="39">
        <v>76</v>
      </c>
      <c r="AC36" s="39">
        <v>12386</v>
      </c>
      <c r="AD36" s="39">
        <v>0</v>
      </c>
      <c r="AE36" s="3">
        <v>841</v>
      </c>
      <c r="AF36" s="3">
        <v>773</v>
      </c>
      <c r="AG36" s="3">
        <v>0</v>
      </c>
      <c r="AH36" s="39">
        <v>1619</v>
      </c>
      <c r="AI36" s="3">
        <v>0</v>
      </c>
      <c r="AJ36" s="39">
        <v>2574</v>
      </c>
    </row>
    <row r="37" spans="1:37" x14ac:dyDescent="0.3">
      <c r="A37" s="39"/>
      <c r="B37" s="3">
        <v>2050</v>
      </c>
      <c r="C37" s="102">
        <f>Y37*(Inputs_Summary!$M75/$Y55)</f>
        <v>0</v>
      </c>
      <c r="D37" s="102">
        <f>Z37*(Inputs_Summary!$M75/$Y55)</f>
        <v>0</v>
      </c>
      <c r="E37" s="102">
        <f>AA37*(Inputs_Summary!$M75/$Y55)</f>
        <v>2255.1385592715365</v>
      </c>
      <c r="F37" s="102">
        <f>AB37*(Inputs_Summary!$M75/$Y55)</f>
        <v>0</v>
      </c>
      <c r="G37" s="102">
        <f>AC37*(Inputs_Summary!$M75/$Y55)</f>
        <v>11933.102322210307</v>
      </c>
      <c r="H37" s="102">
        <f>AD37*(Inputs_Summary!$M75/$Y55)</f>
        <v>0</v>
      </c>
      <c r="I37" s="102">
        <f>AE37*(Inputs_Summary!$M75/$Y55)</f>
        <v>0</v>
      </c>
      <c r="J37" s="102">
        <f>AF37*(Inputs_Summary!$M75/$Y55)</f>
        <v>0</v>
      </c>
      <c r="K37" s="102">
        <f>AG37*(Inputs_Summary!$M75/$Y55)</f>
        <v>0</v>
      </c>
      <c r="L37" s="102">
        <f>AH37*(Inputs_Summary!$M75/$Y55)</f>
        <v>1605.870327856717</v>
      </c>
      <c r="M37" s="102">
        <f>AI37*(Inputs_Summary!$M75/$Y55)</f>
        <v>0</v>
      </c>
      <c r="N37" s="102">
        <f>AJ37*(Inputs_Summary!$M75/$Y55)</f>
        <v>2589.9492930262008</v>
      </c>
      <c r="O37" s="102">
        <f>AK37*(Inputs_Summary!$M75/$Y55)</f>
        <v>0</v>
      </c>
      <c r="P37" s="56"/>
      <c r="Q37" s="39">
        <f>G37+N37</f>
        <v>14523.051615236507</v>
      </c>
      <c r="R37" s="5">
        <f>SUM(K37:L37)</f>
        <v>1605.870327856717</v>
      </c>
      <c r="T37" s="5">
        <f t="shared" si="13"/>
        <v>18384.060502364762</v>
      </c>
      <c r="Y37" s="39">
        <v>0</v>
      </c>
      <c r="Z37" s="39">
        <v>0</v>
      </c>
      <c r="AA37" s="39">
        <v>2216</v>
      </c>
      <c r="AB37" s="3">
        <v>0</v>
      </c>
      <c r="AC37" s="39">
        <v>11726</v>
      </c>
      <c r="AD37" s="39">
        <v>0</v>
      </c>
      <c r="AE37" s="3">
        <v>0</v>
      </c>
      <c r="AF37" s="3">
        <v>0</v>
      </c>
      <c r="AG37" s="3">
        <v>0</v>
      </c>
      <c r="AH37" s="39">
        <v>1578</v>
      </c>
      <c r="AI37" s="3">
        <v>0</v>
      </c>
      <c r="AJ37" s="39">
        <v>2545</v>
      </c>
    </row>
    <row r="38" spans="1:37" x14ac:dyDescent="0.3">
      <c r="A38" s="39"/>
      <c r="Q38" s="5"/>
      <c r="R38" s="5"/>
      <c r="S38" s="5"/>
      <c r="X38" s="39"/>
      <c r="Y38" s="39"/>
      <c r="Z38" s="39"/>
      <c r="AA38" s="39"/>
      <c r="AB38" s="39"/>
    </row>
    <row r="39" spans="1:37" ht="28.8" x14ac:dyDescent="0.3">
      <c r="A39" s="39"/>
      <c r="B39" s="43" t="s">
        <v>35</v>
      </c>
      <c r="C39" s="43" t="s">
        <v>0</v>
      </c>
      <c r="D39" s="43" t="s">
        <v>1</v>
      </c>
      <c r="E39" s="43" t="s">
        <v>28</v>
      </c>
      <c r="F39" s="2" t="s">
        <v>29</v>
      </c>
      <c r="G39" s="2" t="s">
        <v>6</v>
      </c>
      <c r="H39" s="43" t="s">
        <v>2</v>
      </c>
      <c r="I39" s="43" t="s">
        <v>3</v>
      </c>
      <c r="J39" s="43" t="s">
        <v>4</v>
      </c>
      <c r="K39" s="43" t="s">
        <v>9</v>
      </c>
      <c r="L39" s="43" t="s">
        <v>8</v>
      </c>
      <c r="M39" s="43" t="s">
        <v>25</v>
      </c>
      <c r="N39" s="43" t="s">
        <v>7</v>
      </c>
      <c r="O39" s="43" t="s">
        <v>89</v>
      </c>
      <c r="P39" s="25"/>
      <c r="Q39" s="43" t="s">
        <v>5</v>
      </c>
      <c r="R39" s="43" t="s">
        <v>91</v>
      </c>
      <c r="T39" s="43" t="s">
        <v>10</v>
      </c>
      <c r="X39" s="39"/>
      <c r="Y39" s="39"/>
      <c r="Z39" s="39"/>
    </row>
    <row r="40" spans="1:37" x14ac:dyDescent="0.3">
      <c r="A40" s="39"/>
      <c r="B40" s="3">
        <v>2016</v>
      </c>
      <c r="C40" s="50">
        <f>'HC-BC'!C40</f>
        <v>5136.7169876182643</v>
      </c>
      <c r="D40" s="50">
        <f>'HC-BC'!D40</f>
        <v>0</v>
      </c>
      <c r="E40" s="50">
        <f>'HC-BC'!E40</f>
        <v>0</v>
      </c>
      <c r="F40" s="50">
        <f>'HC-BC'!F40</f>
        <v>0</v>
      </c>
      <c r="G40" s="50">
        <f>'HC-BC'!G40</f>
        <v>0</v>
      </c>
      <c r="H40" s="50">
        <f>'HC-BC'!H40</f>
        <v>474.28890346943319</v>
      </c>
      <c r="I40" s="50">
        <f>'HC-BC'!I40</f>
        <v>83.723084328086344</v>
      </c>
      <c r="J40" s="50">
        <f>'HC-BC'!J40</f>
        <v>0</v>
      </c>
      <c r="K40" s="50">
        <f>'HC-BC'!K40</f>
        <v>0</v>
      </c>
      <c r="L40" s="50">
        <f>'HC-BC'!L40</f>
        <v>38.501168859598259</v>
      </c>
      <c r="M40" s="50">
        <f>'HC-BC'!M40</f>
        <v>0</v>
      </c>
      <c r="N40" s="50">
        <f>'HC-BC'!N40</f>
        <v>0</v>
      </c>
      <c r="O40" s="50">
        <f>'HC-BC'!P40</f>
        <v>0</v>
      </c>
      <c r="P40" s="56"/>
      <c r="Q40" s="39">
        <f>G40+N40</f>
        <v>0</v>
      </c>
      <c r="R40" s="5">
        <f>SUM(K40:L40)</f>
        <v>38.501168859598259</v>
      </c>
      <c r="T40" s="5">
        <f>SUM(C40:O40)</f>
        <v>5733.2301442753833</v>
      </c>
      <c r="X40" s="39"/>
      <c r="Y40" s="39"/>
      <c r="Z40" s="39"/>
      <c r="AA40" s="39"/>
      <c r="AB40" s="39"/>
    </row>
    <row r="41" spans="1:37" x14ac:dyDescent="0.3">
      <c r="A41" s="39"/>
      <c r="B41" s="3">
        <v>2030</v>
      </c>
      <c r="C41" s="44">
        <f>Y41*(Inputs_Summary!$M73/$Y53)</f>
        <v>67509.672642426245</v>
      </c>
      <c r="D41" s="102">
        <f>Z41*(Inputs_Summary!$M73/$Y53)</f>
        <v>0</v>
      </c>
      <c r="E41" s="102">
        <f>AA41*(Inputs_Summary!$M73/$Y53)</f>
        <v>0</v>
      </c>
      <c r="F41" s="102">
        <f>AB41*(Inputs_Summary!$M73/$Y53)</f>
        <v>0</v>
      </c>
      <c r="G41" s="102">
        <f>AC41*(Inputs_Summary!$M73/$Y53)</f>
        <v>208.07671021582718</v>
      </c>
      <c r="H41" s="102">
        <f>AD41*(Inputs_Summary!$M73/$Y53)</f>
        <v>8977.8980554887785</v>
      </c>
      <c r="I41" s="102">
        <f>AE41*(Inputs_Summary!$M73/$Y53)</f>
        <v>4212.5333979968937</v>
      </c>
      <c r="J41" s="102">
        <f>AF41*(Inputs_Summary!$M73/$Y53)</f>
        <v>2363.3026351474095</v>
      </c>
      <c r="K41" s="102">
        <f>AG41*(Inputs_Summary!$M73/$Y53)</f>
        <v>354.9543880152346</v>
      </c>
      <c r="L41" s="102">
        <f>AH41*(Inputs_Summary!$M73/$Y53)</f>
        <v>1022.0238413542099</v>
      </c>
      <c r="M41" s="102">
        <f>AI41*(Inputs_Summary!$M73/$Y53)</f>
        <v>0</v>
      </c>
      <c r="N41" s="102">
        <f>AJ41*(Inputs_Summary!$M73/$Y53)</f>
        <v>3114.0107661221587</v>
      </c>
      <c r="O41" s="102">
        <f>AK41*(Inputs_Summary!$M73/$Y53)</f>
        <v>0</v>
      </c>
      <c r="P41" s="56"/>
      <c r="Q41" s="39">
        <f>G41+N41</f>
        <v>3322.0874763379857</v>
      </c>
      <c r="R41" s="5">
        <f>SUM(K41:L41)</f>
        <v>1376.9782293694445</v>
      </c>
      <c r="T41" s="5">
        <f t="shared" ref="T41:T43" si="14">SUM(C41:O41)</f>
        <v>87762.472436766766</v>
      </c>
      <c r="Y41" s="39">
        <v>66187</v>
      </c>
      <c r="Z41" s="39">
        <v>0</v>
      </c>
      <c r="AA41" s="39">
        <v>0</v>
      </c>
      <c r="AB41" s="39">
        <v>0</v>
      </c>
      <c r="AC41" s="39">
        <v>204</v>
      </c>
      <c r="AD41" s="39">
        <v>8802</v>
      </c>
      <c r="AE41" s="39">
        <v>4130</v>
      </c>
      <c r="AF41" s="39">
        <v>2317</v>
      </c>
      <c r="AG41" s="3">
        <v>348</v>
      </c>
      <c r="AH41" s="39">
        <v>1002</v>
      </c>
      <c r="AI41" s="3">
        <v>0</v>
      </c>
      <c r="AJ41" s="39">
        <v>3053</v>
      </c>
    </row>
    <row r="42" spans="1:37" x14ac:dyDescent="0.3">
      <c r="A42" s="39"/>
      <c r="B42" s="3">
        <v>2040</v>
      </c>
      <c r="C42" s="102">
        <f>Y42*(Inputs_Summary!$M74/$Y54)</f>
        <v>67033.712986070997</v>
      </c>
      <c r="D42" s="102">
        <f>Z42*(Inputs_Summary!$M74/$Y54)</f>
        <v>0</v>
      </c>
      <c r="E42" s="102">
        <f>AA42*(Inputs_Summary!$M74/$Y54)</f>
        <v>0</v>
      </c>
      <c r="F42" s="102">
        <f>AB42*(Inputs_Summary!$M74/$Y54)</f>
        <v>0</v>
      </c>
      <c r="G42" s="102">
        <f>AC42*(Inputs_Summary!$M74/$Y54)</f>
        <v>197.83436140666038</v>
      </c>
      <c r="H42" s="102">
        <f>AD42*(Inputs_Summary!$M74/$Y54)</f>
        <v>0</v>
      </c>
      <c r="I42" s="102">
        <f>AE42*(Inputs_Summary!$M74/$Y54)</f>
        <v>4223.8138277990538</v>
      </c>
      <c r="J42" s="102">
        <f>AF42*(Inputs_Summary!$M74/$Y54)</f>
        <v>2377.0250428911936</v>
      </c>
      <c r="K42" s="102">
        <f>AG42*(Inputs_Summary!$M74/$Y54)</f>
        <v>358.51201534100386</v>
      </c>
      <c r="L42" s="102">
        <f>AH42*(Inputs_Summary!$M74/$Y54)</f>
        <v>1025.3242791685293</v>
      </c>
      <c r="M42" s="102">
        <f>AI42*(Inputs_Summary!$M74/$Y54)</f>
        <v>0</v>
      </c>
      <c r="N42" s="102">
        <f>AJ42*(Inputs_Summary!$M74/$Y54)</f>
        <v>3013.7102466060296</v>
      </c>
      <c r="O42" s="102">
        <f>AK42*(Inputs_Summary!$M74/$Y54)</f>
        <v>0</v>
      </c>
      <c r="P42" s="56"/>
      <c r="Q42" s="39">
        <f>G42+N42</f>
        <v>3211.5446080126899</v>
      </c>
      <c r="R42" s="5">
        <f>SUM(K42:L42)</f>
        <v>1383.8362945095332</v>
      </c>
      <c r="T42" s="5">
        <f t="shared" si="14"/>
        <v>78229.932759283474</v>
      </c>
      <c r="Y42" s="39">
        <v>66751</v>
      </c>
      <c r="Z42" s="39">
        <v>0</v>
      </c>
      <c r="AA42" s="3">
        <v>0</v>
      </c>
      <c r="AB42" s="39">
        <v>0</v>
      </c>
      <c r="AC42" s="39">
        <v>197</v>
      </c>
      <c r="AD42" s="39">
        <v>0</v>
      </c>
      <c r="AE42" s="39">
        <v>4206</v>
      </c>
      <c r="AF42" s="39">
        <v>2367</v>
      </c>
      <c r="AG42" s="3">
        <v>357</v>
      </c>
      <c r="AH42" s="39">
        <v>1021</v>
      </c>
      <c r="AI42" s="3">
        <v>0</v>
      </c>
      <c r="AJ42" s="39">
        <v>3001</v>
      </c>
    </row>
    <row r="43" spans="1:37" x14ac:dyDescent="0.3">
      <c r="A43" s="39"/>
      <c r="B43" s="3">
        <v>2050</v>
      </c>
      <c r="C43" s="102">
        <f>Y43*(Inputs_Summary!$M75/$Y55)</f>
        <v>64692.760926395116</v>
      </c>
      <c r="D43" s="102">
        <f>Z43*(Inputs_Summary!$M75/$Y55)</f>
        <v>0</v>
      </c>
      <c r="E43" s="102">
        <f>AA43*(Inputs_Summary!$M75/$Y55)</f>
        <v>0</v>
      </c>
      <c r="F43" s="102">
        <f>AB43*(Inputs_Summary!$M75/$Y55)</f>
        <v>0</v>
      </c>
      <c r="G43" s="102">
        <f>AC43*(Inputs_Summary!$M75/$Y55)</f>
        <v>196.40872831200659</v>
      </c>
      <c r="H43" s="102">
        <f>AD43*(Inputs_Summary!$M75/$Y55)</f>
        <v>0</v>
      </c>
      <c r="I43" s="102">
        <f>AE43*(Inputs_Summary!$M75/$Y55)</f>
        <v>0</v>
      </c>
      <c r="J43" s="102">
        <f>AF43*(Inputs_Summary!$M75/$Y55)</f>
        <v>0</v>
      </c>
      <c r="K43" s="102">
        <f>AG43*(Inputs_Summary!$M75/$Y55)</f>
        <v>0</v>
      </c>
      <c r="L43" s="102">
        <f>AH43*(Inputs_Summary!$M75/$Y55)</f>
        <v>0</v>
      </c>
      <c r="M43" s="102">
        <f>AI43*(Inputs_Summary!$M75/$Y55)</f>
        <v>0</v>
      </c>
      <c r="N43" s="102">
        <f>AJ43*(Inputs_Summary!$M75/$Y55)</f>
        <v>3055.0207377857187</v>
      </c>
      <c r="O43" s="102">
        <f>AK43*(Inputs_Summary!$M75/$Y55)</f>
        <v>0</v>
      </c>
      <c r="P43" s="56"/>
      <c r="Q43" s="39">
        <f>G43+N43</f>
        <v>3251.4294660977253</v>
      </c>
      <c r="R43" s="5">
        <f>SUM(K43:L43)</f>
        <v>0</v>
      </c>
      <c r="T43" s="5">
        <f t="shared" si="14"/>
        <v>67944.190392492848</v>
      </c>
      <c r="X43" s="39"/>
      <c r="Y43" s="39">
        <v>63570</v>
      </c>
      <c r="Z43" s="39">
        <v>0</v>
      </c>
      <c r="AA43" s="3">
        <v>0</v>
      </c>
      <c r="AB43" s="3">
        <v>0</v>
      </c>
      <c r="AC43" s="39">
        <v>193</v>
      </c>
      <c r="AD43" s="39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9">
        <v>3002</v>
      </c>
    </row>
    <row r="44" spans="1:37" x14ac:dyDescent="0.3">
      <c r="A44" s="39"/>
      <c r="Q44" s="5"/>
      <c r="R44" s="5"/>
      <c r="S44" s="5"/>
      <c r="X44" s="39"/>
      <c r="Y44" s="39"/>
      <c r="Z44" s="39"/>
      <c r="AA44" s="39"/>
      <c r="AB44" s="39"/>
    </row>
    <row r="45" spans="1:37" ht="28.8" x14ac:dyDescent="0.3">
      <c r="A45" s="39"/>
      <c r="B45" s="43" t="s">
        <v>36</v>
      </c>
      <c r="C45" s="43" t="s">
        <v>0</v>
      </c>
      <c r="D45" s="43" t="s">
        <v>1</v>
      </c>
      <c r="E45" s="43" t="s">
        <v>28</v>
      </c>
      <c r="F45" s="2" t="s">
        <v>29</v>
      </c>
      <c r="G45" s="2" t="s">
        <v>6</v>
      </c>
      <c r="H45" s="43" t="s">
        <v>2</v>
      </c>
      <c r="I45" s="43" t="s">
        <v>3</v>
      </c>
      <c r="J45" s="43" t="s">
        <v>4</v>
      </c>
      <c r="K45" s="43" t="s">
        <v>9</v>
      </c>
      <c r="L45" s="43" t="s">
        <v>8</v>
      </c>
      <c r="M45" s="43" t="s">
        <v>25</v>
      </c>
      <c r="N45" s="43" t="s">
        <v>7</v>
      </c>
      <c r="O45" s="43" t="s">
        <v>89</v>
      </c>
      <c r="P45" s="25"/>
      <c r="Q45" s="43" t="s">
        <v>5</v>
      </c>
      <c r="R45" s="43" t="s">
        <v>91</v>
      </c>
      <c r="T45" s="43" t="s">
        <v>10</v>
      </c>
      <c r="X45" s="39"/>
      <c r="Y45" s="39"/>
      <c r="Z45" s="39"/>
      <c r="AB45" s="39"/>
      <c r="AC45" s="39"/>
      <c r="AD45" s="39"/>
    </row>
    <row r="46" spans="1:37" x14ac:dyDescent="0.3">
      <c r="A46" s="39"/>
      <c r="B46" s="3">
        <v>2016</v>
      </c>
      <c r="C46" s="50">
        <f>'HC-BC'!C46</f>
        <v>0</v>
      </c>
      <c r="D46" s="50">
        <f>'HC-BC'!D46</f>
        <v>0</v>
      </c>
      <c r="E46" s="50">
        <f>'HC-BC'!E46</f>
        <v>0</v>
      </c>
      <c r="F46" s="50">
        <f>'HC-BC'!F46</f>
        <v>0</v>
      </c>
      <c r="G46" s="50">
        <f>'HC-BC'!G46</f>
        <v>0</v>
      </c>
      <c r="H46" s="50">
        <f>'HC-BC'!H46</f>
        <v>0</v>
      </c>
      <c r="I46" s="50">
        <f>'HC-BC'!I46</f>
        <v>0</v>
      </c>
      <c r="J46" s="50">
        <f>'HC-BC'!J46</f>
        <v>0</v>
      </c>
      <c r="K46" s="50">
        <f>'HC-BC'!K46</f>
        <v>0</v>
      </c>
      <c r="L46" s="50">
        <f>'HC-BC'!L46</f>
        <v>0</v>
      </c>
      <c r="M46" s="50">
        <f>'HC-BC'!M46</f>
        <v>0</v>
      </c>
      <c r="N46" s="50">
        <f>'HC-BC'!N46</f>
        <v>0</v>
      </c>
      <c r="O46" s="50">
        <f>'HC-BC'!P46</f>
        <v>0</v>
      </c>
      <c r="P46" s="56"/>
      <c r="Q46" s="39">
        <f>G46+N46</f>
        <v>0</v>
      </c>
      <c r="R46" s="5">
        <f>SUM(K46:L46)</f>
        <v>0</v>
      </c>
      <c r="T46" s="5">
        <f>SUM(C46:O46)</f>
        <v>0</v>
      </c>
      <c r="X46" s="39"/>
      <c r="Y46" s="39"/>
      <c r="Z46" s="39"/>
      <c r="AA46" s="39"/>
      <c r="AC46" s="39"/>
      <c r="AD46" s="39"/>
    </row>
    <row r="47" spans="1:37" x14ac:dyDescent="0.3">
      <c r="A47" s="39"/>
      <c r="B47" s="3">
        <v>2030</v>
      </c>
      <c r="C47" s="44">
        <f>Y47*(Inputs_Summary!$M73/$Y53)</f>
        <v>0</v>
      </c>
      <c r="D47" s="102">
        <f>Z47*(Inputs_Summary!$M73/$Y53)</f>
        <v>0</v>
      </c>
      <c r="E47" s="102">
        <f>AA47*(Inputs_Summary!$M73/$Y53)</f>
        <v>10137.619719779932</v>
      </c>
      <c r="F47" s="102">
        <f>AB47*(Inputs_Summary!$M73/$Y53)</f>
        <v>2929.3936849992924</v>
      </c>
      <c r="G47" s="102">
        <f>AC47*(Inputs_Summary!$M73/$Y53)</f>
        <v>0</v>
      </c>
      <c r="H47" s="102">
        <f>AD47*(Inputs_Summary!$M73/$Y53)</f>
        <v>35893.232512230185</v>
      </c>
      <c r="I47" s="102">
        <f>AE47*(Inputs_Summary!$M73/$Y53)</f>
        <v>0</v>
      </c>
      <c r="J47" s="102">
        <f>AF47*(Inputs_Summary!$M73/$Y53)</f>
        <v>5148.8785939681156</v>
      </c>
      <c r="K47" s="102">
        <f>AG47*(Inputs_Summary!$M73/$Y53)</f>
        <v>1850.2507467230907</v>
      </c>
      <c r="L47" s="102">
        <f>AH47*(Inputs_Summary!$M73/$Y53)</f>
        <v>0</v>
      </c>
      <c r="M47" s="102">
        <f>AI47*(Inputs_Summary!$M73/$Y53)</f>
        <v>0</v>
      </c>
      <c r="N47" s="102">
        <f>AJ47*(Inputs_Summary!$M73/$Y53)</f>
        <v>0</v>
      </c>
      <c r="O47" s="102">
        <f>AK47*(Inputs_Summary!$M73/$Y53)</f>
        <v>0</v>
      </c>
      <c r="P47" s="56"/>
      <c r="Q47" s="39">
        <f>G47+N47</f>
        <v>0</v>
      </c>
      <c r="R47" s="5">
        <f>SUM(K47:L47)</f>
        <v>1850.2507467230907</v>
      </c>
      <c r="T47" s="5">
        <f t="shared" ref="T47:T49" si="15">SUM(C47:O47)</f>
        <v>55959.375257700616</v>
      </c>
      <c r="Y47" s="39">
        <v>0</v>
      </c>
      <c r="Z47" s="39">
        <v>0</v>
      </c>
      <c r="AA47" s="39">
        <v>9939</v>
      </c>
      <c r="AB47" s="39">
        <v>2872</v>
      </c>
      <c r="AC47" s="3">
        <v>0</v>
      </c>
      <c r="AD47" s="39">
        <v>35190</v>
      </c>
      <c r="AE47" s="3">
        <v>0</v>
      </c>
      <c r="AF47" s="39">
        <v>5048</v>
      </c>
      <c r="AG47" s="39">
        <v>1814</v>
      </c>
      <c r="AH47" s="3">
        <v>0</v>
      </c>
      <c r="AI47" s="39">
        <v>0</v>
      </c>
      <c r="AJ47" s="3">
        <v>0</v>
      </c>
      <c r="AK47" s="39"/>
    </row>
    <row r="48" spans="1:37" x14ac:dyDescent="0.3">
      <c r="A48" s="39"/>
      <c r="B48" s="3">
        <v>2040</v>
      </c>
      <c r="C48" s="102">
        <f>Y48*(Inputs_Summary!$M74/$Y54)</f>
        <v>0</v>
      </c>
      <c r="D48" s="102">
        <f>Z48*(Inputs_Summary!$M74/$Y54)</f>
        <v>0</v>
      </c>
      <c r="E48" s="102">
        <f>AA48*(Inputs_Summary!$M74/$Y54)</f>
        <v>27732.963069067682</v>
      </c>
      <c r="F48" s="102">
        <f>AB48*(Inputs_Summary!$M74/$Y54)</f>
        <v>5266.2101076981071</v>
      </c>
      <c r="G48" s="102">
        <f>AC48*(Inputs_Summary!$M74/$Y54)</f>
        <v>15360.783716123235</v>
      </c>
      <c r="H48" s="102">
        <f>AD48*(Inputs_Summary!$M74/$Y54)</f>
        <v>124114.44954624651</v>
      </c>
      <c r="I48" s="102">
        <f>AE48*(Inputs_Summary!$M74/$Y54)</f>
        <v>0</v>
      </c>
      <c r="J48" s="102">
        <f>AF48*(Inputs_Summary!$M74/$Y54)</f>
        <v>32357.466796365505</v>
      </c>
      <c r="K48" s="102">
        <f>AG48*(Inputs_Summary!$M74/$Y54)</f>
        <v>1812.6447834468122</v>
      </c>
      <c r="L48" s="102">
        <f>AH48*(Inputs_Summary!$M74/$Y54)</f>
        <v>0</v>
      </c>
      <c r="M48" s="102">
        <f>AI48*(Inputs_Summary!$M74/$Y54)</f>
        <v>0</v>
      </c>
      <c r="N48" s="102">
        <f>AJ48*(Inputs_Summary!$M74/$Y54)</f>
        <v>0</v>
      </c>
      <c r="O48" s="102">
        <f>AK48*(Inputs_Summary!$M74/$Y54)</f>
        <v>0</v>
      </c>
      <c r="P48" s="56"/>
      <c r="Q48" s="39">
        <f>G48+N48</f>
        <v>15360.783716123235</v>
      </c>
      <c r="R48" s="5">
        <f>SUM(K48:L48)</f>
        <v>1812.6447834468122</v>
      </c>
      <c r="T48" s="5">
        <f t="shared" si="15"/>
        <v>206644.51801894786</v>
      </c>
      <c r="Y48" s="39">
        <v>0</v>
      </c>
      <c r="Z48" s="39">
        <v>0</v>
      </c>
      <c r="AA48" s="39">
        <v>27616</v>
      </c>
      <c r="AB48" s="39">
        <v>5244</v>
      </c>
      <c r="AC48" s="39">
        <v>15296</v>
      </c>
      <c r="AD48" s="39">
        <v>123591</v>
      </c>
      <c r="AE48" s="3">
        <v>0</v>
      </c>
      <c r="AF48" s="39">
        <v>32221</v>
      </c>
      <c r="AG48" s="39">
        <v>1805</v>
      </c>
      <c r="AH48" s="3">
        <v>0</v>
      </c>
      <c r="AI48" s="39">
        <v>0</v>
      </c>
      <c r="AJ48" s="3">
        <v>0</v>
      </c>
      <c r="AK48" s="39"/>
    </row>
    <row r="49" spans="1:37" x14ac:dyDescent="0.3">
      <c r="A49" s="39"/>
      <c r="B49" s="3">
        <v>2050</v>
      </c>
      <c r="C49" s="102">
        <f>Y49*(Inputs_Summary!$M75/$Y55)</f>
        <v>23630.107105724313</v>
      </c>
      <c r="D49" s="102">
        <f>Z49*(Inputs_Summary!$M75/$Y55)</f>
        <v>0</v>
      </c>
      <c r="E49" s="102">
        <f>AA49*(Inputs_Summary!$M75/$Y55)</f>
        <v>35254.85790110282</v>
      </c>
      <c r="F49" s="102">
        <f>AB49*(Inputs_Summary!$M75/$Y55)</f>
        <v>6908.9059922808947</v>
      </c>
      <c r="G49" s="102">
        <f>AC49*(Inputs_Summary!$M75/$Y55)</f>
        <v>15598.720142831278</v>
      </c>
      <c r="H49" s="102">
        <f>AD49*(Inputs_Summary!$M75/$Y55)</f>
        <v>169740.90071917686</v>
      </c>
      <c r="I49" s="102">
        <f>AE49*(Inputs_Summary!$M75/$Y55)</f>
        <v>0</v>
      </c>
      <c r="J49" s="102">
        <f>AF49*(Inputs_Summary!$M75/$Y55)</f>
        <v>50554.385473344824</v>
      </c>
      <c r="K49" s="102">
        <f>AG49*(Inputs_Summary!$M75/$Y55)</f>
        <v>1586.5347535669339</v>
      </c>
      <c r="L49" s="102">
        <f>AH49*(Inputs_Summary!$M75/$Y55)</f>
        <v>0</v>
      </c>
      <c r="M49" s="102">
        <f>AI49*(Inputs_Summary!$M75/$Y55)</f>
        <v>0</v>
      </c>
      <c r="N49" s="102">
        <f>AJ49*(Inputs_Summary!$M75/$Y55)</f>
        <v>0</v>
      </c>
      <c r="O49" s="102">
        <f>AK49*(Inputs_Summary!$M75/$Y55)</f>
        <v>0</v>
      </c>
      <c r="P49" s="56"/>
      <c r="Q49" s="39">
        <f>G49+N49</f>
        <v>15598.720142831278</v>
      </c>
      <c r="R49" s="5">
        <f>SUM(K49:L49)</f>
        <v>1586.5347535669339</v>
      </c>
      <c r="T49" s="5">
        <f t="shared" si="15"/>
        <v>303274.41208802792</v>
      </c>
      <c r="Y49" s="39">
        <v>23220</v>
      </c>
      <c r="Z49" s="39">
        <v>0</v>
      </c>
      <c r="AA49" s="39">
        <v>34643</v>
      </c>
      <c r="AB49" s="39">
        <v>6789</v>
      </c>
      <c r="AC49" s="39">
        <v>15328</v>
      </c>
      <c r="AD49" s="39">
        <v>166795</v>
      </c>
      <c r="AE49" s="3">
        <v>0</v>
      </c>
      <c r="AF49" s="39">
        <v>49677</v>
      </c>
      <c r="AG49" s="39">
        <v>1559</v>
      </c>
      <c r="AH49" s="3">
        <v>0</v>
      </c>
      <c r="AI49" s="39">
        <v>0</v>
      </c>
      <c r="AJ49" s="39">
        <v>0</v>
      </c>
      <c r="AK49" s="39"/>
    </row>
    <row r="50" spans="1:37" x14ac:dyDescent="0.3">
      <c r="A50" s="39"/>
    </row>
    <row r="51" spans="1:37" ht="28.8" x14ac:dyDescent="0.3">
      <c r="A51" s="39"/>
      <c r="B51" s="43" t="s">
        <v>13</v>
      </c>
      <c r="C51" s="43" t="s">
        <v>0</v>
      </c>
      <c r="D51" s="43" t="s">
        <v>1</v>
      </c>
      <c r="E51" s="43" t="s">
        <v>28</v>
      </c>
      <c r="F51" s="2" t="s">
        <v>29</v>
      </c>
      <c r="G51" s="2" t="s">
        <v>6</v>
      </c>
      <c r="H51" s="43" t="s">
        <v>2</v>
      </c>
      <c r="I51" s="43" t="s">
        <v>3</v>
      </c>
      <c r="J51" s="43" t="s">
        <v>4</v>
      </c>
      <c r="K51" s="43" t="s">
        <v>9</v>
      </c>
      <c r="L51" s="43" t="s">
        <v>8</v>
      </c>
      <c r="M51" s="43" t="s">
        <v>25</v>
      </c>
      <c r="N51" s="43" t="s">
        <v>7</v>
      </c>
      <c r="O51" s="43" t="s">
        <v>89</v>
      </c>
      <c r="P51" s="25"/>
      <c r="Q51" s="43" t="s">
        <v>5</v>
      </c>
      <c r="R51" s="43" t="s">
        <v>91</v>
      </c>
      <c r="T51" s="43" t="s">
        <v>10</v>
      </c>
      <c r="U51" s="43"/>
      <c r="V51" s="43"/>
      <c r="W51" s="43" t="s">
        <v>16</v>
      </c>
      <c r="X51" s="43" t="s">
        <v>15</v>
      </c>
    </row>
    <row r="52" spans="1:37" x14ac:dyDescent="0.3">
      <c r="A52" s="39">
        <f>C52-C46</f>
        <v>199945.5213375215</v>
      </c>
      <c r="B52" s="3">
        <v>2016</v>
      </c>
      <c r="C52" s="50">
        <f>C34+C40+C46</f>
        <v>199945.5213375215</v>
      </c>
      <c r="D52" s="50">
        <f t="shared" ref="D52:O55" si="16">D34+D40+D46</f>
        <v>14743.87884401034</v>
      </c>
      <c r="E52" s="50">
        <f t="shared" si="16"/>
        <v>756.07675598824017</v>
      </c>
      <c r="F52" s="50">
        <f t="shared" si="16"/>
        <v>2024.3136712665919</v>
      </c>
      <c r="G52" s="50">
        <f t="shared" si="16"/>
        <v>15799.124268819065</v>
      </c>
      <c r="H52" s="50">
        <f t="shared" si="16"/>
        <v>4496.505188735453</v>
      </c>
      <c r="I52" s="50">
        <f t="shared" si="16"/>
        <v>911.39300995821191</v>
      </c>
      <c r="J52" s="50">
        <f t="shared" si="16"/>
        <v>2639.0862346009021</v>
      </c>
      <c r="K52" s="50">
        <f t="shared" si="16"/>
        <v>0</v>
      </c>
      <c r="L52" s="50">
        <f t="shared" si="16"/>
        <v>1622.2358992136444</v>
      </c>
      <c r="M52" s="50">
        <f t="shared" si="16"/>
        <v>0</v>
      </c>
      <c r="N52" s="50">
        <f t="shared" si="16"/>
        <v>2994.3929759978951</v>
      </c>
      <c r="O52" s="50">
        <f t="shared" si="16"/>
        <v>0</v>
      </c>
      <c r="P52" s="56"/>
      <c r="Q52" s="39">
        <f>G52+N52</f>
        <v>18793.517244816961</v>
      </c>
      <c r="R52" s="5">
        <f>SUM(K52:L52)</f>
        <v>1622.2358992136444</v>
      </c>
      <c r="T52" s="5">
        <f>SUM(C52:O52)</f>
        <v>245932.52818611186</v>
      </c>
      <c r="W52" s="18">
        <f>SUM(G52:L52)</f>
        <v>25468.344601327273</v>
      </c>
      <c r="X52" s="23">
        <f>W52/T52</f>
        <v>0.10355825961360367</v>
      </c>
      <c r="Y52" s="39">
        <v>240333.53100000005</v>
      </c>
      <c r="Z52" s="39"/>
    </row>
    <row r="53" spans="1:37" x14ac:dyDescent="0.3">
      <c r="A53" s="39">
        <f t="shared" ref="A53:A55" si="17">C53-C47</f>
        <v>197149.62297787544</v>
      </c>
      <c r="B53" s="3">
        <v>2030</v>
      </c>
      <c r="C53" s="50">
        <f t="shared" ref="C53:N55" si="18">C35+C41+C47</f>
        <v>197149.62297787544</v>
      </c>
      <c r="D53" s="50">
        <f t="shared" si="18"/>
        <v>14610.24900554661</v>
      </c>
      <c r="E53" s="50">
        <f t="shared" si="18"/>
        <v>12363.224531990398</v>
      </c>
      <c r="F53" s="50">
        <f t="shared" si="18"/>
        <v>3161.9500081816873</v>
      </c>
      <c r="G53" s="50">
        <f t="shared" si="18"/>
        <v>12734.498661983345</v>
      </c>
      <c r="H53" s="50">
        <f t="shared" si="18"/>
        <v>49058.164368875681</v>
      </c>
      <c r="I53" s="50">
        <f t="shared" si="18"/>
        <v>5054.0200937226655</v>
      </c>
      <c r="J53" s="50">
        <f t="shared" si="18"/>
        <v>10135.579752032718</v>
      </c>
      <c r="K53" s="50">
        <f t="shared" si="18"/>
        <v>2205.2051347383253</v>
      </c>
      <c r="L53" s="50">
        <f t="shared" si="18"/>
        <v>2611.1587164339098</v>
      </c>
      <c r="M53" s="50">
        <f t="shared" si="18"/>
        <v>0</v>
      </c>
      <c r="N53" s="50">
        <f t="shared" si="18"/>
        <v>5728.2294341768893</v>
      </c>
      <c r="O53" s="50">
        <f t="shared" si="16"/>
        <v>0</v>
      </c>
      <c r="P53" s="56"/>
      <c r="Q53" s="39">
        <f>G53+N53</f>
        <v>18462.728096160234</v>
      </c>
      <c r="R53" s="5">
        <f>SUM(K53:L53)</f>
        <v>4816.3638511722347</v>
      </c>
      <c r="T53" s="5">
        <f t="shared" ref="T53:T55" si="19">SUM(C53:O53)</f>
        <v>314811.90268555767</v>
      </c>
      <c r="W53" s="18">
        <f>SUM(G53:L53)</f>
        <v>81798.626727786643</v>
      </c>
      <c r="X53" s="23">
        <f>W53/T53</f>
        <v>0.25983333549331916</v>
      </c>
      <c r="Y53" s="39">
        <v>301330.46730000002</v>
      </c>
      <c r="AA53" s="39"/>
    </row>
    <row r="54" spans="1:37" x14ac:dyDescent="0.3">
      <c r="A54" s="39">
        <f t="shared" si="17"/>
        <v>106083.4040688019</v>
      </c>
      <c r="B54" s="3">
        <v>2040</v>
      </c>
      <c r="C54" s="50">
        <f t="shared" si="18"/>
        <v>106083.4040688019</v>
      </c>
      <c r="D54" s="50">
        <f t="shared" si="18"/>
        <v>14321.40014223545</v>
      </c>
      <c r="E54" s="50">
        <f t="shared" si="18"/>
        <v>29993.496812856476</v>
      </c>
      <c r="F54" s="50">
        <f t="shared" si="18"/>
        <v>5342.5319933169203</v>
      </c>
      <c r="G54" s="50">
        <f t="shared" si="18"/>
        <v>27997.076962722258</v>
      </c>
      <c r="H54" s="50">
        <f t="shared" si="18"/>
        <v>124114.44954624651</v>
      </c>
      <c r="I54" s="50">
        <f t="shared" si="18"/>
        <v>5068.3757462914464</v>
      </c>
      <c r="J54" s="50">
        <f t="shared" si="18"/>
        <v>35510.765754826993</v>
      </c>
      <c r="K54" s="50">
        <f t="shared" si="18"/>
        <v>2171.1567987878161</v>
      </c>
      <c r="L54" s="50">
        <f t="shared" si="18"/>
        <v>2651.1812899166671</v>
      </c>
      <c r="M54" s="50">
        <f t="shared" si="18"/>
        <v>0</v>
      </c>
      <c r="N54" s="50">
        <f t="shared" si="18"/>
        <v>5598.6120042747807</v>
      </c>
      <c r="O54" s="50">
        <f t="shared" si="16"/>
        <v>0</v>
      </c>
      <c r="P54" s="56"/>
      <c r="Q54" s="39">
        <f>G54+N54</f>
        <v>33595.688966997041</v>
      </c>
      <c r="R54" s="5">
        <f>SUM(K54:L54)</f>
        <v>4822.3380887044832</v>
      </c>
      <c r="T54" s="5">
        <f t="shared" si="19"/>
        <v>358852.45112027723</v>
      </c>
      <c r="W54" s="18">
        <f>SUM(G54:L54)</f>
        <v>197513.00609879169</v>
      </c>
      <c r="X54" s="23">
        <f>W54/T54</f>
        <v>0.55040171937571891</v>
      </c>
      <c r="Y54" s="39">
        <v>350081.19150000002</v>
      </c>
      <c r="AB54" s="39"/>
      <c r="AD54" s="39"/>
    </row>
    <row r="55" spans="1:37" x14ac:dyDescent="0.3">
      <c r="A55" s="39">
        <f t="shared" si="17"/>
        <v>64692.760926395116</v>
      </c>
      <c r="B55" s="3">
        <v>2050</v>
      </c>
      <c r="C55" s="50">
        <f t="shared" si="18"/>
        <v>88322.868032119426</v>
      </c>
      <c r="D55" s="50">
        <f t="shared" si="18"/>
        <v>0</v>
      </c>
      <c r="E55" s="50">
        <f t="shared" si="18"/>
        <v>37509.996460374357</v>
      </c>
      <c r="F55" s="50">
        <f t="shared" si="18"/>
        <v>6908.9059922808947</v>
      </c>
      <c r="G55" s="50">
        <f t="shared" si="18"/>
        <v>27728.231193353589</v>
      </c>
      <c r="H55" s="50">
        <f t="shared" si="18"/>
        <v>169740.90071917686</v>
      </c>
      <c r="I55" s="50">
        <f t="shared" si="18"/>
        <v>0</v>
      </c>
      <c r="J55" s="50">
        <f t="shared" si="18"/>
        <v>50554.385473344824</v>
      </c>
      <c r="K55" s="50">
        <f t="shared" si="18"/>
        <v>1586.5347535669339</v>
      </c>
      <c r="L55" s="50">
        <f t="shared" si="18"/>
        <v>1605.870327856717</v>
      </c>
      <c r="M55" s="50">
        <f t="shared" si="18"/>
        <v>0</v>
      </c>
      <c r="N55" s="50">
        <f t="shared" si="18"/>
        <v>5644.9700308119191</v>
      </c>
      <c r="O55" s="50">
        <f t="shared" si="16"/>
        <v>0</v>
      </c>
      <c r="P55" s="56"/>
      <c r="Q55" s="39">
        <f>G55+N55</f>
        <v>33373.20122416551</v>
      </c>
      <c r="R55" s="5">
        <f>SUM(K55:L55)</f>
        <v>3192.4050814236507</v>
      </c>
      <c r="T55" s="5">
        <f t="shared" si="19"/>
        <v>389602.66298288555</v>
      </c>
      <c r="W55" s="18">
        <f>SUM(G55:L55)</f>
        <v>251215.92246729892</v>
      </c>
      <c r="X55" s="23">
        <f>W55/T55</f>
        <v>0.64480032180461333</v>
      </c>
      <c r="Y55" s="39">
        <v>375618.4424</v>
      </c>
    </row>
    <row r="57" spans="1:37" x14ac:dyDescent="0.3">
      <c r="B57" s="3">
        <v>2016</v>
      </c>
      <c r="C57" s="23">
        <f t="shared" ref="C57:O60" si="20">IFERROR(C52/$T52,0)</f>
        <v>0.81300966087011783</v>
      </c>
      <c r="D57" s="23">
        <f t="shared" si="20"/>
        <v>5.9950909921329176E-2</v>
      </c>
      <c r="E57" s="23">
        <f t="shared" si="20"/>
        <v>3.074325960720705E-3</v>
      </c>
      <c r="F57" s="23">
        <f t="shared" si="20"/>
        <v>8.2311749738719908E-3</v>
      </c>
      <c r="G57" s="23">
        <f t="shared" si="20"/>
        <v>6.4241702329278394E-2</v>
      </c>
      <c r="H57" s="23">
        <f t="shared" si="20"/>
        <v>1.8283491093673783E-2</v>
      </c>
      <c r="I57" s="23">
        <f t="shared" si="20"/>
        <v>3.7058660628597542E-3</v>
      </c>
      <c r="J57" s="23">
        <f t="shared" si="20"/>
        <v>1.0730936058217349E-2</v>
      </c>
      <c r="K57" s="23">
        <f t="shared" si="20"/>
        <v>0</v>
      </c>
      <c r="L57" s="23">
        <f t="shared" si="20"/>
        <v>6.5962640695744054E-3</v>
      </c>
      <c r="M57" s="23">
        <f t="shared" si="20"/>
        <v>0</v>
      </c>
      <c r="N57" s="23">
        <f t="shared" si="20"/>
        <v>1.2175668660356546E-2</v>
      </c>
      <c r="O57" s="23">
        <f t="shared" si="20"/>
        <v>0</v>
      </c>
      <c r="P57" s="26"/>
      <c r="Q57" s="7">
        <f t="shared" ref="Q57:R60" si="21">Q52/$T52</f>
        <v>7.6417370989634942E-2</v>
      </c>
      <c r="R57" s="7">
        <f t="shared" si="21"/>
        <v>6.5962640695744054E-3</v>
      </c>
      <c r="T57" s="8">
        <f>SUM(C57:O57)</f>
        <v>0.99999999999999978</v>
      </c>
    </row>
    <row r="58" spans="1:37" x14ac:dyDescent="0.3">
      <c r="B58" s="3">
        <v>2030</v>
      </c>
      <c r="C58" s="23">
        <f t="shared" si="20"/>
        <v>0.62624577182773677</v>
      </c>
      <c r="D58" s="23">
        <f t="shared" si="20"/>
        <v>4.6409455553971565E-2</v>
      </c>
      <c r="E58" s="23">
        <f t="shared" si="20"/>
        <v>3.9271782377107607E-2</v>
      </c>
      <c r="F58" s="23">
        <f t="shared" si="20"/>
        <v>1.0043934111792226E-2</v>
      </c>
      <c r="G58" s="23">
        <f t="shared" si="20"/>
        <v>4.045113464055676E-2</v>
      </c>
      <c r="H58" s="23">
        <f t="shared" si="20"/>
        <v>0.15583325773382925</v>
      </c>
      <c r="I58" s="23">
        <f t="shared" si="20"/>
        <v>1.6054094685138867E-2</v>
      </c>
      <c r="J58" s="23">
        <f t="shared" si="20"/>
        <v>3.2195668796412689E-2</v>
      </c>
      <c r="K58" s="23">
        <f t="shared" si="20"/>
        <v>7.0048340482886436E-3</v>
      </c>
      <c r="L58" s="23">
        <f t="shared" si="20"/>
        <v>8.2943455890929357E-3</v>
      </c>
      <c r="M58" s="23">
        <f t="shared" si="20"/>
        <v>0</v>
      </c>
      <c r="N58" s="23">
        <f t="shared" si="20"/>
        <v>1.8195720636072627E-2</v>
      </c>
      <c r="O58" s="23">
        <f t="shared" si="20"/>
        <v>0</v>
      </c>
      <c r="P58" s="26"/>
      <c r="Q58" s="7">
        <f t="shared" si="21"/>
        <v>5.8646855276629384E-2</v>
      </c>
      <c r="R58" s="7">
        <f t="shared" si="21"/>
        <v>1.5299179637381578E-2</v>
      </c>
      <c r="T58" s="8">
        <f t="shared" ref="T58:T60" si="22">SUM(C58:O58)</f>
        <v>1</v>
      </c>
    </row>
    <row r="59" spans="1:37" x14ac:dyDescent="0.3">
      <c r="B59" s="3">
        <v>2040</v>
      </c>
      <c r="C59" s="23">
        <f t="shared" si="20"/>
        <v>0.29561844634926498</v>
      </c>
      <c r="D59" s="23">
        <f t="shared" si="20"/>
        <v>3.9908882041982542E-2</v>
      </c>
      <c r="E59" s="23">
        <f t="shared" si="20"/>
        <v>8.3581696932044924E-2</v>
      </c>
      <c r="F59" s="23">
        <f t="shared" si="20"/>
        <v>1.4887823607274886E-2</v>
      </c>
      <c r="G59" s="23">
        <f t="shared" si="20"/>
        <v>7.8018352320905357E-2</v>
      </c>
      <c r="H59" s="23">
        <f t="shared" si="20"/>
        <v>0.3458648510238177</v>
      </c>
      <c r="I59" s="23">
        <f t="shared" si="20"/>
        <v>1.4123843185322621E-2</v>
      </c>
      <c r="J59" s="23">
        <f t="shared" si="20"/>
        <v>9.8956453115948723E-2</v>
      </c>
      <c r="K59" s="23">
        <f t="shared" si="20"/>
        <v>6.0502771877684776E-3</v>
      </c>
      <c r="L59" s="23">
        <f t="shared" si="20"/>
        <v>7.3879425419559582E-3</v>
      </c>
      <c r="M59" s="23">
        <f t="shared" si="20"/>
        <v>0</v>
      </c>
      <c r="N59" s="23">
        <f t="shared" si="20"/>
        <v>1.5601431693713814E-2</v>
      </c>
      <c r="O59" s="23">
        <f t="shared" si="20"/>
        <v>0</v>
      </c>
      <c r="P59" s="26"/>
      <c r="Q59" s="7">
        <f t="shared" si="21"/>
        <v>9.3619784014619178E-2</v>
      </c>
      <c r="R59" s="7">
        <f t="shared" si="21"/>
        <v>1.3438219729724437E-2</v>
      </c>
      <c r="T59" s="8">
        <f t="shared" si="22"/>
        <v>1</v>
      </c>
    </row>
    <row r="60" spans="1:37" x14ac:dyDescent="0.3">
      <c r="B60" s="3">
        <v>2050</v>
      </c>
      <c r="C60" s="23">
        <f t="shared" si="20"/>
        <v>0.22669985712084126</v>
      </c>
      <c r="D60" s="23">
        <f t="shared" si="20"/>
        <v>0</v>
      </c>
      <c r="E60" s="23">
        <f t="shared" si="20"/>
        <v>9.6277566927262234E-2</v>
      </c>
      <c r="F60" s="23">
        <f t="shared" si="20"/>
        <v>1.7733210392826264E-2</v>
      </c>
      <c r="G60" s="23">
        <f t="shared" si="20"/>
        <v>7.1170538160750807E-2</v>
      </c>
      <c r="H60" s="23">
        <f t="shared" si="20"/>
        <v>0.43567695205059015</v>
      </c>
      <c r="I60" s="23">
        <f t="shared" si="20"/>
        <v>0</v>
      </c>
      <c r="J60" s="23">
        <f t="shared" si="20"/>
        <v>0.12975882938347774</v>
      </c>
      <c r="K60" s="23">
        <f t="shared" si="20"/>
        <v>4.0721866257793704E-3</v>
      </c>
      <c r="L60" s="23">
        <f t="shared" si="20"/>
        <v>4.1218155840152962E-3</v>
      </c>
      <c r="M60" s="23">
        <f t="shared" si="20"/>
        <v>0</v>
      </c>
      <c r="N60" s="23">
        <f t="shared" si="20"/>
        <v>1.448904375445681E-2</v>
      </c>
      <c r="O60" s="23">
        <f t="shared" si="20"/>
        <v>0</v>
      </c>
      <c r="P60" s="26"/>
      <c r="Q60" s="7">
        <f t="shared" si="21"/>
        <v>8.5659581915207617E-2</v>
      </c>
      <c r="R60" s="7">
        <f t="shared" si="21"/>
        <v>8.1940022097946666E-3</v>
      </c>
      <c r="T60" s="8">
        <f t="shared" si="22"/>
        <v>0.99999999999999989</v>
      </c>
    </row>
    <row r="62" spans="1:37" s="9" customFormat="1" ht="21" x14ac:dyDescent="0.4">
      <c r="B62" s="10" t="s">
        <v>12</v>
      </c>
    </row>
    <row r="63" spans="1:37" s="32" customFormat="1" ht="21" x14ac:dyDescent="0.4">
      <c r="B63" s="31"/>
      <c r="P63" s="58"/>
    </row>
    <row r="64" spans="1:37" ht="28.8" x14ac:dyDescent="0.3">
      <c r="B64" s="43" t="s">
        <v>37</v>
      </c>
      <c r="C64" s="43" t="s">
        <v>0</v>
      </c>
      <c r="D64" s="43" t="s">
        <v>1</v>
      </c>
      <c r="E64" s="43" t="s">
        <v>28</v>
      </c>
      <c r="F64" s="2" t="s">
        <v>29</v>
      </c>
      <c r="G64" s="2" t="s">
        <v>6</v>
      </c>
      <c r="H64" s="43" t="s">
        <v>2</v>
      </c>
      <c r="I64" s="43" t="s">
        <v>3</v>
      </c>
      <c r="J64" s="43" t="s">
        <v>4</v>
      </c>
      <c r="K64" s="43" t="s">
        <v>9</v>
      </c>
      <c r="L64" s="43" t="s">
        <v>8</v>
      </c>
      <c r="M64" s="43" t="s">
        <v>25</v>
      </c>
      <c r="N64" s="43" t="s">
        <v>7</v>
      </c>
      <c r="O64" s="43" t="s">
        <v>89</v>
      </c>
      <c r="P64" s="25"/>
      <c r="Q64" s="43" t="s">
        <v>5</v>
      </c>
      <c r="R64" s="43" t="s">
        <v>91</v>
      </c>
      <c r="T64" s="43"/>
    </row>
    <row r="65" spans="2:20" x14ac:dyDescent="0.3">
      <c r="B65" s="3">
        <v>2016</v>
      </c>
      <c r="C65" s="23">
        <f t="shared" ref="C65:O65" si="23">IFERROR(C34/(8.76*C4),0)</f>
        <v>0.61670682155154666</v>
      </c>
      <c r="D65" s="23">
        <f t="shared" si="23"/>
        <v>0.90488773776270071</v>
      </c>
      <c r="E65" s="23">
        <f t="shared" si="23"/>
        <v>0.20327398012747969</v>
      </c>
      <c r="F65" s="23">
        <f t="shared" si="23"/>
        <v>6.7588779038524713E-2</v>
      </c>
      <c r="G65" s="23">
        <f t="shared" si="23"/>
        <v>0.82769756710584552</v>
      </c>
      <c r="H65" s="23">
        <f t="shared" si="23"/>
        <v>0.35157512265710944</v>
      </c>
      <c r="I65" s="23">
        <f t="shared" si="23"/>
        <v>0.47241434111308539</v>
      </c>
      <c r="J65" s="23">
        <f t="shared" si="23"/>
        <v>0.20369543738680201</v>
      </c>
      <c r="K65" s="23">
        <f t="shared" si="23"/>
        <v>0</v>
      </c>
      <c r="L65" s="23">
        <f t="shared" si="23"/>
        <v>0.68481680259532229</v>
      </c>
      <c r="M65" s="23">
        <f t="shared" si="23"/>
        <v>0</v>
      </c>
      <c r="N65" s="23">
        <f t="shared" si="23"/>
        <v>0.21634536847565858</v>
      </c>
      <c r="O65" s="23">
        <f t="shared" si="23"/>
        <v>0</v>
      </c>
      <c r="P65" s="26"/>
      <c r="Q65" s="6">
        <f t="shared" ref="Q65:R68" si="24">IFERROR(Q34/(8.76*Q4),0)</f>
        <v>0.57073122663346065</v>
      </c>
      <c r="R65" s="6">
        <f t="shared" si="24"/>
        <v>0.68481680259532229</v>
      </c>
      <c r="S65" s="5"/>
      <c r="T65" s="5"/>
    </row>
    <row r="66" spans="2:20" x14ac:dyDescent="0.3">
      <c r="B66" s="3">
        <v>2030</v>
      </c>
      <c r="C66" s="23">
        <f t="shared" ref="C66:O66" si="25">IFERROR(C35/(8.76*C5),0)</f>
        <v>0.64120801943334482</v>
      </c>
      <c r="D66" s="23">
        <f t="shared" si="25"/>
        <v>0.89668636799397361</v>
      </c>
      <c r="E66" s="23">
        <f t="shared" si="25"/>
        <v>0.59836193188820885</v>
      </c>
      <c r="F66" s="23">
        <f t="shared" si="25"/>
        <v>8.6277300869165938E-3</v>
      </c>
      <c r="G66" s="23">
        <f t="shared" si="25"/>
        <v>0.65624453593808041</v>
      </c>
      <c r="H66" s="23">
        <f t="shared" si="25"/>
        <v>0.36598154296264507</v>
      </c>
      <c r="I66" s="23">
        <f t="shared" si="25"/>
        <v>0.48030062541425317</v>
      </c>
      <c r="J66" s="23">
        <f t="shared" si="25"/>
        <v>0.20248459582690342</v>
      </c>
      <c r="K66" s="23">
        <f t="shared" si="25"/>
        <v>0</v>
      </c>
      <c r="L66" s="23">
        <f t="shared" si="25"/>
        <v>0.68715185894895003</v>
      </c>
      <c r="M66" s="23">
        <f t="shared" si="25"/>
        <v>0</v>
      </c>
      <c r="N66" s="23">
        <f t="shared" si="25"/>
        <v>0.18887771429792574</v>
      </c>
      <c r="O66" s="23">
        <f t="shared" si="25"/>
        <v>0</v>
      </c>
      <c r="P66" s="26"/>
      <c r="Q66" s="6">
        <f t="shared" si="24"/>
        <v>0.45979878488954518</v>
      </c>
      <c r="R66" s="6">
        <f t="shared" si="24"/>
        <v>0.68715185894895003</v>
      </c>
      <c r="S66" s="5"/>
      <c r="T66" s="5"/>
    </row>
    <row r="67" spans="2:20" x14ac:dyDescent="0.3">
      <c r="B67" s="3">
        <v>2040</v>
      </c>
      <c r="C67" s="23">
        <f t="shared" ref="C67:O67" si="26">IFERROR(C36/(8.76*C6),0)</f>
        <v>0.58194873270877168</v>
      </c>
      <c r="D67" s="23">
        <f t="shared" si="26"/>
        <v>0.87895861824492127</v>
      </c>
      <c r="E67" s="23">
        <f t="shared" si="26"/>
        <v>0.60775270192219444</v>
      </c>
      <c r="F67" s="23">
        <f t="shared" si="26"/>
        <v>8.6691980302611542E-3</v>
      </c>
      <c r="G67" s="23">
        <f t="shared" si="26"/>
        <v>0.65163625417760873</v>
      </c>
      <c r="H67" s="23">
        <f t="shared" si="26"/>
        <v>0</v>
      </c>
      <c r="I67" s="23">
        <f t="shared" si="26"/>
        <v>0.48205588955045253</v>
      </c>
      <c r="J67" s="23">
        <f t="shared" si="26"/>
        <v>0.20371435353233003</v>
      </c>
      <c r="K67" s="23">
        <f t="shared" si="26"/>
        <v>0</v>
      </c>
      <c r="L67" s="23">
        <f t="shared" si="26"/>
        <v>0.70303074008411937</v>
      </c>
      <c r="M67" s="23">
        <f t="shared" si="26"/>
        <v>0</v>
      </c>
      <c r="N67" s="23">
        <f t="shared" si="26"/>
        <v>0.18675956286260553</v>
      </c>
      <c r="O67" s="23">
        <f t="shared" si="26"/>
        <v>0</v>
      </c>
      <c r="P67" s="26"/>
      <c r="Q67" s="6">
        <f t="shared" si="24"/>
        <v>0.45623716604839759</v>
      </c>
      <c r="R67" s="6">
        <f t="shared" si="24"/>
        <v>0.70303074008411937</v>
      </c>
      <c r="S67" s="5"/>
      <c r="T67" s="5"/>
    </row>
    <row r="68" spans="2:20" x14ac:dyDescent="0.3">
      <c r="B68" s="3">
        <v>2050</v>
      </c>
      <c r="C68" s="23">
        <f t="shared" ref="C68:O68" si="27">IFERROR(C37/(8.76*C7),0)</f>
        <v>0</v>
      </c>
      <c r="D68" s="23">
        <f t="shared" si="27"/>
        <v>0</v>
      </c>
      <c r="E68" s="23">
        <f t="shared" si="27"/>
        <v>0.60630218698219773</v>
      </c>
      <c r="F68" s="23">
        <f t="shared" si="27"/>
        <v>0</v>
      </c>
      <c r="G68" s="23">
        <f t="shared" si="27"/>
        <v>0.62516121729681551</v>
      </c>
      <c r="H68" s="23">
        <f t="shared" si="27"/>
        <v>0</v>
      </c>
      <c r="I68" s="23">
        <f t="shared" si="27"/>
        <v>0</v>
      </c>
      <c r="J68" s="23">
        <f t="shared" si="27"/>
        <v>0</v>
      </c>
      <c r="K68" s="23">
        <f t="shared" si="27"/>
        <v>0</v>
      </c>
      <c r="L68" s="23">
        <f t="shared" si="27"/>
        <v>0.69438837339867732</v>
      </c>
      <c r="M68" s="23">
        <f t="shared" si="27"/>
        <v>0</v>
      </c>
      <c r="N68" s="23">
        <f t="shared" si="27"/>
        <v>0.18712424809448883</v>
      </c>
      <c r="O68" s="23">
        <f t="shared" si="27"/>
        <v>0</v>
      </c>
      <c r="P68" s="26"/>
      <c r="Q68" s="6">
        <f t="shared" si="24"/>
        <v>0.44104352340490915</v>
      </c>
      <c r="R68" s="6">
        <f t="shared" si="24"/>
        <v>0.69438837339867732</v>
      </c>
      <c r="S68" s="5"/>
      <c r="T68" s="5"/>
    </row>
    <row r="69" spans="2:20" x14ac:dyDescent="0.3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28"/>
      <c r="Q69" s="5"/>
      <c r="R69" s="5"/>
      <c r="S69" s="5"/>
      <c r="T69" s="5"/>
    </row>
    <row r="70" spans="2:20" ht="28.8" x14ac:dyDescent="0.3">
      <c r="B70" s="43" t="s">
        <v>38</v>
      </c>
      <c r="C70" s="43" t="s">
        <v>0</v>
      </c>
      <c r="D70" s="43" t="s">
        <v>1</v>
      </c>
      <c r="E70" s="43" t="s">
        <v>28</v>
      </c>
      <c r="F70" s="2" t="s">
        <v>29</v>
      </c>
      <c r="G70" s="2" t="s">
        <v>6</v>
      </c>
      <c r="H70" s="43" t="s">
        <v>2</v>
      </c>
      <c r="I70" s="43" t="s">
        <v>3</v>
      </c>
      <c r="J70" s="43" t="s">
        <v>4</v>
      </c>
      <c r="K70" s="43" t="s">
        <v>9</v>
      </c>
      <c r="L70" s="43" t="s">
        <v>8</v>
      </c>
      <c r="M70" s="43" t="s">
        <v>25</v>
      </c>
      <c r="N70" s="43" t="s">
        <v>7</v>
      </c>
      <c r="O70" s="43" t="s">
        <v>89</v>
      </c>
      <c r="P70" s="25"/>
      <c r="Q70" s="43" t="s">
        <v>5</v>
      </c>
      <c r="R70" s="43" t="s">
        <v>91</v>
      </c>
      <c r="T70" s="43"/>
    </row>
    <row r="71" spans="2:20" x14ac:dyDescent="0.3">
      <c r="B71" s="3">
        <v>2016</v>
      </c>
      <c r="C71" s="23">
        <f t="shared" ref="C71:O71" si="28">IFERROR(C40/(8.76*C10),0)</f>
        <v>0.81216512155767595</v>
      </c>
      <c r="D71" s="23">
        <f t="shared" si="28"/>
        <v>0</v>
      </c>
      <c r="E71" s="23">
        <f t="shared" si="28"/>
        <v>0</v>
      </c>
      <c r="F71" s="23">
        <f t="shared" si="28"/>
        <v>0</v>
      </c>
      <c r="G71" s="23">
        <f t="shared" si="28"/>
        <v>0</v>
      </c>
      <c r="H71" s="23">
        <f t="shared" si="28"/>
        <v>0.35157512265717339</v>
      </c>
      <c r="I71" s="23">
        <f t="shared" si="28"/>
        <v>0</v>
      </c>
      <c r="J71" s="23">
        <f t="shared" si="28"/>
        <v>0</v>
      </c>
      <c r="K71" s="23">
        <f t="shared" si="28"/>
        <v>0</v>
      </c>
      <c r="L71" s="23">
        <f t="shared" si="28"/>
        <v>0</v>
      </c>
      <c r="M71" s="23">
        <f t="shared" si="28"/>
        <v>0</v>
      </c>
      <c r="N71" s="23">
        <f t="shared" si="28"/>
        <v>0</v>
      </c>
      <c r="O71" s="23">
        <f t="shared" si="28"/>
        <v>0</v>
      </c>
      <c r="P71" s="26"/>
      <c r="Q71" s="7">
        <f t="shared" ref="Q71:R74" si="29">IFERROR(Q40/(8.76*Q10),0)</f>
        <v>0</v>
      </c>
      <c r="R71" s="7">
        <f t="shared" si="29"/>
        <v>0</v>
      </c>
      <c r="S71" s="5"/>
      <c r="T71" s="5"/>
    </row>
    <row r="72" spans="2:20" x14ac:dyDescent="0.3">
      <c r="B72" s="3">
        <v>2030</v>
      </c>
      <c r="C72" s="23">
        <f t="shared" ref="C72:O72" si="30">IFERROR(C41/(8.76*C11),0)</f>
        <v>0.80815684091654416</v>
      </c>
      <c r="D72" s="23">
        <f t="shared" si="30"/>
        <v>0</v>
      </c>
      <c r="E72" s="23">
        <f t="shared" si="30"/>
        <v>0</v>
      </c>
      <c r="F72" s="23">
        <f t="shared" si="30"/>
        <v>0</v>
      </c>
      <c r="G72" s="23">
        <f t="shared" si="30"/>
        <v>0.52784553580879545</v>
      </c>
      <c r="H72" s="23">
        <f t="shared" si="30"/>
        <v>0.36602650258842051</v>
      </c>
      <c r="I72" s="23">
        <f t="shared" si="30"/>
        <v>0.56574447998883881</v>
      </c>
      <c r="J72" s="23">
        <f t="shared" si="30"/>
        <v>0.20254009447353258</v>
      </c>
      <c r="K72" s="23">
        <f t="shared" si="30"/>
        <v>0.76452655297500349</v>
      </c>
      <c r="L72" s="23">
        <f t="shared" si="30"/>
        <v>0.7625450214538827</v>
      </c>
      <c r="M72" s="23">
        <f t="shared" si="30"/>
        <v>0</v>
      </c>
      <c r="N72" s="23">
        <f t="shared" si="30"/>
        <v>0.26687738818631634</v>
      </c>
      <c r="O72" s="23">
        <f t="shared" si="30"/>
        <v>0</v>
      </c>
      <c r="P72" s="26"/>
      <c r="Q72" s="7">
        <f t="shared" si="29"/>
        <v>0.27540575902365222</v>
      </c>
      <c r="R72" s="7">
        <f t="shared" si="29"/>
        <v>0.76305483296174392</v>
      </c>
      <c r="S72" s="5"/>
      <c r="T72" s="5"/>
    </row>
    <row r="73" spans="2:20" x14ac:dyDescent="0.3">
      <c r="B73" s="3">
        <v>2040</v>
      </c>
      <c r="C73" s="23">
        <f t="shared" ref="C73:O73" si="31">IFERROR(C42/(8.76*C12),0)</f>
        <v>0.8024591380951851</v>
      </c>
      <c r="D73" s="23">
        <f t="shared" si="31"/>
        <v>0</v>
      </c>
      <c r="E73" s="23">
        <f t="shared" si="31"/>
        <v>0</v>
      </c>
      <c r="F73" s="23">
        <f t="shared" si="31"/>
        <v>0</v>
      </c>
      <c r="G73" s="23">
        <f t="shared" si="31"/>
        <v>0.50186291579568842</v>
      </c>
      <c r="H73" s="23">
        <f t="shared" si="31"/>
        <v>0</v>
      </c>
      <c r="I73" s="23">
        <f t="shared" si="31"/>
        <v>0.56725944504419201</v>
      </c>
      <c r="J73" s="23">
        <f t="shared" si="31"/>
        <v>0.20371613418994283</v>
      </c>
      <c r="K73" s="23">
        <f t="shared" si="31"/>
        <v>0.77218922921729105</v>
      </c>
      <c r="L73" s="23">
        <f t="shared" si="31"/>
        <v>0.76500752019617491</v>
      </c>
      <c r="M73" s="23">
        <f t="shared" si="31"/>
        <v>0</v>
      </c>
      <c r="N73" s="23">
        <f t="shared" si="31"/>
        <v>0.25828141897085694</v>
      </c>
      <c r="O73" s="23">
        <f t="shared" si="31"/>
        <v>0</v>
      </c>
      <c r="P73" s="26"/>
      <c r="Q73" s="7">
        <f t="shared" si="29"/>
        <v>0.26624159860565533</v>
      </c>
      <c r="R73" s="7">
        <f t="shared" si="29"/>
        <v>0.7668552414491806</v>
      </c>
      <c r="S73" s="5"/>
      <c r="T73" s="5"/>
    </row>
    <row r="74" spans="2:20" x14ac:dyDescent="0.3">
      <c r="B74" s="3">
        <v>2050</v>
      </c>
      <c r="C74" s="23">
        <f t="shared" ref="C74:O74" si="32">IFERROR(C43/(8.76*C13),0)</f>
        <v>0.77443565127863356</v>
      </c>
      <c r="D74" s="23">
        <f t="shared" si="32"/>
        <v>0</v>
      </c>
      <c r="E74" s="23">
        <f t="shared" si="32"/>
        <v>0</v>
      </c>
      <c r="F74" s="23">
        <f t="shared" si="32"/>
        <v>0</v>
      </c>
      <c r="G74" s="23">
        <f t="shared" si="32"/>
        <v>0.49824639348555705</v>
      </c>
      <c r="H74" s="23">
        <f t="shared" si="32"/>
        <v>0</v>
      </c>
      <c r="I74" s="23">
        <f t="shared" si="32"/>
        <v>0</v>
      </c>
      <c r="J74" s="23">
        <f t="shared" si="32"/>
        <v>0</v>
      </c>
      <c r="K74" s="23">
        <f t="shared" si="32"/>
        <v>0</v>
      </c>
      <c r="L74" s="23">
        <f t="shared" si="32"/>
        <v>0</v>
      </c>
      <c r="M74" s="23">
        <f t="shared" si="32"/>
        <v>0</v>
      </c>
      <c r="N74" s="23">
        <f t="shared" si="32"/>
        <v>0.26182181648992475</v>
      </c>
      <c r="O74" s="23">
        <f t="shared" si="32"/>
        <v>0</v>
      </c>
      <c r="P74" s="26"/>
      <c r="Q74" s="7">
        <f t="shared" si="29"/>
        <v>0.26954810985579508</v>
      </c>
      <c r="R74" s="7">
        <f t="shared" si="29"/>
        <v>0</v>
      </c>
      <c r="S74" s="5"/>
      <c r="T74" s="5"/>
    </row>
    <row r="75" spans="2:20" x14ac:dyDescent="0.3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28"/>
      <c r="Q75" s="5"/>
      <c r="R75" s="5"/>
      <c r="S75" s="5"/>
      <c r="T75" s="5"/>
    </row>
    <row r="76" spans="2:20" ht="28.8" x14ac:dyDescent="0.3">
      <c r="B76" s="43" t="s">
        <v>43</v>
      </c>
      <c r="C76" s="43" t="s">
        <v>0</v>
      </c>
      <c r="D76" s="43" t="s">
        <v>1</v>
      </c>
      <c r="E76" s="43" t="s">
        <v>28</v>
      </c>
      <c r="F76" s="2" t="s">
        <v>29</v>
      </c>
      <c r="G76" s="2" t="s">
        <v>6</v>
      </c>
      <c r="H76" s="43" t="s">
        <v>2</v>
      </c>
      <c r="I76" s="43" t="s">
        <v>3</v>
      </c>
      <c r="J76" s="43" t="s">
        <v>4</v>
      </c>
      <c r="K76" s="43" t="s">
        <v>9</v>
      </c>
      <c r="L76" s="43" t="s">
        <v>8</v>
      </c>
      <c r="M76" s="43" t="s">
        <v>25</v>
      </c>
      <c r="N76" s="43" t="s">
        <v>7</v>
      </c>
      <c r="O76" s="43" t="s">
        <v>89</v>
      </c>
      <c r="P76" s="25"/>
      <c r="Q76" s="43" t="s">
        <v>5</v>
      </c>
      <c r="R76" s="43" t="s">
        <v>91</v>
      </c>
      <c r="T76" s="43"/>
    </row>
    <row r="77" spans="2:20" x14ac:dyDescent="0.3">
      <c r="B77" s="3">
        <v>2016</v>
      </c>
      <c r="C77" s="23">
        <f t="shared" ref="C77:O77" si="33">IFERROR(C46/(8.76*C16),0)</f>
        <v>0</v>
      </c>
      <c r="D77" s="23">
        <f t="shared" si="33"/>
        <v>0</v>
      </c>
      <c r="E77" s="23">
        <f t="shared" si="33"/>
        <v>0</v>
      </c>
      <c r="F77" s="23">
        <f t="shared" si="33"/>
        <v>0</v>
      </c>
      <c r="G77" s="23">
        <f t="shared" si="33"/>
        <v>0</v>
      </c>
      <c r="H77" s="23">
        <f t="shared" si="33"/>
        <v>0</v>
      </c>
      <c r="I77" s="23">
        <f t="shared" si="33"/>
        <v>0</v>
      </c>
      <c r="J77" s="23">
        <f t="shared" si="33"/>
        <v>0</v>
      </c>
      <c r="K77" s="23">
        <f t="shared" si="33"/>
        <v>0</v>
      </c>
      <c r="L77" s="23">
        <f t="shared" si="33"/>
        <v>0</v>
      </c>
      <c r="M77" s="23">
        <f t="shared" si="33"/>
        <v>0</v>
      </c>
      <c r="N77" s="23">
        <f t="shared" si="33"/>
        <v>0</v>
      </c>
      <c r="O77" s="23">
        <f t="shared" si="33"/>
        <v>0</v>
      </c>
      <c r="P77" s="26"/>
      <c r="Q77" s="7">
        <f t="shared" ref="Q77:R80" si="34">IFERROR(Q46/(8.76*Q16),0)</f>
        <v>0</v>
      </c>
      <c r="R77" s="7">
        <f t="shared" si="34"/>
        <v>0</v>
      </c>
      <c r="S77" s="5"/>
      <c r="T77" s="5"/>
    </row>
    <row r="78" spans="2:20" x14ac:dyDescent="0.3">
      <c r="B78" s="3">
        <v>2030</v>
      </c>
      <c r="C78" s="23">
        <f t="shared" ref="C78:O78" si="35">IFERROR(C47/(8.76*C17),0)</f>
        <v>0</v>
      </c>
      <c r="D78" s="23">
        <f t="shared" si="35"/>
        <v>0</v>
      </c>
      <c r="E78" s="23">
        <f t="shared" si="35"/>
        <v>0.31619194674563755</v>
      </c>
      <c r="F78" s="23">
        <f t="shared" si="35"/>
        <v>5.6297251145382525E-2</v>
      </c>
      <c r="G78" s="23">
        <f t="shared" si="35"/>
        <v>0</v>
      </c>
      <c r="H78" s="23">
        <f t="shared" si="35"/>
        <v>0.36583937247462273</v>
      </c>
      <c r="I78" s="23">
        <f t="shared" si="35"/>
        <v>0</v>
      </c>
      <c r="J78" s="23">
        <f t="shared" si="35"/>
        <v>0.20267983758337724</v>
      </c>
      <c r="K78" s="23">
        <f t="shared" si="35"/>
        <v>0.84486335466807794</v>
      </c>
      <c r="L78" s="23">
        <f t="shared" si="35"/>
        <v>0</v>
      </c>
      <c r="M78" s="23">
        <f t="shared" si="35"/>
        <v>0</v>
      </c>
      <c r="N78" s="23">
        <f t="shared" si="35"/>
        <v>0</v>
      </c>
      <c r="O78" s="23">
        <f t="shared" si="35"/>
        <v>0</v>
      </c>
      <c r="P78" s="26"/>
      <c r="Q78" s="7">
        <f t="shared" si="34"/>
        <v>0</v>
      </c>
      <c r="R78" s="7">
        <f t="shared" si="34"/>
        <v>0.84486335466807794</v>
      </c>
      <c r="S78" s="5"/>
      <c r="T78" s="5"/>
    </row>
    <row r="79" spans="2:20" x14ac:dyDescent="0.3">
      <c r="B79" s="3">
        <v>2040</v>
      </c>
      <c r="C79" s="23">
        <f t="shared" ref="C79:O79" si="36">IFERROR(C48/(8.76*C18),0)</f>
        <v>0</v>
      </c>
      <c r="D79" s="23">
        <f t="shared" si="36"/>
        <v>0</v>
      </c>
      <c r="E79" s="23">
        <f t="shared" si="36"/>
        <v>0.33268845776048994</v>
      </c>
      <c r="F79" s="23">
        <f t="shared" si="36"/>
        <v>3.4765529574858879E-2</v>
      </c>
      <c r="G79" s="23">
        <f t="shared" si="36"/>
        <v>0.70140564913804726</v>
      </c>
      <c r="H79" s="23">
        <f t="shared" si="36"/>
        <v>0.34983496687030419</v>
      </c>
      <c r="I79" s="23">
        <f t="shared" si="36"/>
        <v>0</v>
      </c>
      <c r="J79" s="23">
        <f t="shared" si="36"/>
        <v>0.20074862763280168</v>
      </c>
      <c r="K79" s="23">
        <f t="shared" si="36"/>
        <v>0.7808412093765883</v>
      </c>
      <c r="L79" s="23">
        <f t="shared" si="36"/>
        <v>0</v>
      </c>
      <c r="M79" s="23">
        <f t="shared" si="36"/>
        <v>0</v>
      </c>
      <c r="N79" s="23">
        <f t="shared" si="36"/>
        <v>0</v>
      </c>
      <c r="O79" s="23">
        <f t="shared" si="36"/>
        <v>0</v>
      </c>
      <c r="P79" s="26"/>
      <c r="Q79" s="7">
        <f t="shared" si="34"/>
        <v>0.61896015631666723</v>
      </c>
      <c r="R79" s="7">
        <f t="shared" si="34"/>
        <v>0.7808412093765883</v>
      </c>
      <c r="S79" s="5"/>
      <c r="T79" s="5"/>
    </row>
    <row r="80" spans="2:20" x14ac:dyDescent="0.3">
      <c r="B80" s="3">
        <v>2050</v>
      </c>
      <c r="C80" s="23">
        <f t="shared" ref="C80:O80" si="37">IFERROR(C49/(8.76*C19),0)</f>
        <v>0.71933354964153162</v>
      </c>
      <c r="D80" s="23">
        <f t="shared" si="37"/>
        <v>0</v>
      </c>
      <c r="E80" s="23">
        <f t="shared" si="37"/>
        <v>0.32341105413533744</v>
      </c>
      <c r="F80" s="23">
        <f t="shared" si="37"/>
        <v>3.3756544198861607E-2</v>
      </c>
      <c r="G80" s="23">
        <f t="shared" si="37"/>
        <v>0.7122703261566794</v>
      </c>
      <c r="H80" s="23">
        <f t="shared" si="37"/>
        <v>0.34356055231544264</v>
      </c>
      <c r="I80" s="23">
        <f t="shared" si="37"/>
        <v>0</v>
      </c>
      <c r="J80" s="23">
        <f t="shared" si="37"/>
        <v>0.18983712401370173</v>
      </c>
      <c r="K80" s="23">
        <f t="shared" si="37"/>
        <v>0.68343876693673378</v>
      </c>
      <c r="L80" s="23">
        <f t="shared" si="37"/>
        <v>0</v>
      </c>
      <c r="M80" s="23">
        <f t="shared" si="37"/>
        <v>0</v>
      </c>
      <c r="N80" s="23">
        <f t="shared" si="37"/>
        <v>0</v>
      </c>
      <c r="O80" s="23">
        <f t="shared" si="37"/>
        <v>0</v>
      </c>
      <c r="P80" s="26"/>
      <c r="Q80" s="7">
        <f t="shared" si="34"/>
        <v>0.62854776399283396</v>
      </c>
      <c r="R80" s="7">
        <f t="shared" si="34"/>
        <v>0.68343876693673378</v>
      </c>
      <c r="S80" s="5"/>
      <c r="T80" s="5"/>
    </row>
    <row r="81" spans="1:58" x14ac:dyDescent="0.3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28"/>
    </row>
    <row r="82" spans="1:58" ht="28.8" x14ac:dyDescent="0.3">
      <c r="B82" s="43" t="s">
        <v>52</v>
      </c>
      <c r="C82" s="43" t="s">
        <v>0</v>
      </c>
      <c r="D82" s="43" t="s">
        <v>1</v>
      </c>
      <c r="E82" s="43" t="s">
        <v>28</v>
      </c>
      <c r="F82" s="2" t="s">
        <v>29</v>
      </c>
      <c r="G82" s="2" t="s">
        <v>6</v>
      </c>
      <c r="H82" s="43" t="s">
        <v>2</v>
      </c>
      <c r="I82" s="43" t="s">
        <v>3</v>
      </c>
      <c r="J82" s="43" t="s">
        <v>4</v>
      </c>
      <c r="K82" s="43" t="s">
        <v>9</v>
      </c>
      <c r="L82" s="43" t="s">
        <v>8</v>
      </c>
      <c r="M82" s="43" t="s">
        <v>25</v>
      </c>
      <c r="N82" s="43" t="s">
        <v>7</v>
      </c>
      <c r="O82" s="43" t="s">
        <v>89</v>
      </c>
      <c r="P82" s="25"/>
      <c r="Q82" s="43" t="s">
        <v>5</v>
      </c>
      <c r="R82" s="43" t="s">
        <v>91</v>
      </c>
      <c r="T82" s="43"/>
    </row>
    <row r="83" spans="1:58" x14ac:dyDescent="0.3">
      <c r="B83" s="3">
        <v>2016</v>
      </c>
      <c r="C83" s="23">
        <f t="shared" ref="C83:O83" si="38">IFERROR(C52/(8.76*C22),0)</f>
        <v>0.6205435050544672</v>
      </c>
      <c r="D83" s="23">
        <f t="shared" si="38"/>
        <v>0.90488773776270071</v>
      </c>
      <c r="E83" s="23">
        <f t="shared" si="38"/>
        <v>0.20327398012747969</v>
      </c>
      <c r="F83" s="23">
        <f t="shared" si="38"/>
        <v>6.7588779038524713E-2</v>
      </c>
      <c r="G83" s="23">
        <f t="shared" si="38"/>
        <v>0.82769756710584552</v>
      </c>
      <c r="H83" s="23">
        <f t="shared" si="38"/>
        <v>0.35157512265711616</v>
      </c>
      <c r="I83" s="23">
        <f t="shared" si="38"/>
        <v>0.52020148970217572</v>
      </c>
      <c r="J83" s="23">
        <f t="shared" si="38"/>
        <v>0.20369543738680201</v>
      </c>
      <c r="K83" s="23">
        <f t="shared" si="38"/>
        <v>0</v>
      </c>
      <c r="L83" s="23">
        <f t="shared" si="38"/>
        <v>0.70146494880899946</v>
      </c>
      <c r="M83" s="23">
        <f t="shared" si="38"/>
        <v>0</v>
      </c>
      <c r="N83" s="23">
        <f t="shared" si="38"/>
        <v>0.21634536847565858</v>
      </c>
      <c r="O83" s="23">
        <f t="shared" si="38"/>
        <v>0</v>
      </c>
      <c r="P83" s="26"/>
      <c r="Q83" s="7">
        <f t="shared" ref="Q83:R86" si="39">IFERROR(Q52/(8.76*Q22),0)</f>
        <v>0.57073122663346065</v>
      </c>
      <c r="R83" s="7">
        <f t="shared" si="39"/>
        <v>0.70146494880899946</v>
      </c>
      <c r="S83" s="5"/>
      <c r="T83" s="5"/>
    </row>
    <row r="84" spans="1:58" x14ac:dyDescent="0.3">
      <c r="B84" s="3">
        <v>2030</v>
      </c>
      <c r="C84" s="23">
        <f t="shared" ref="C84:O84" si="40">IFERROR(C53/(8.76*C23),0)</f>
        <v>0.69001915389691448</v>
      </c>
      <c r="D84" s="23">
        <f t="shared" si="40"/>
        <v>0.89668636799397361</v>
      </c>
      <c r="E84" s="23">
        <f t="shared" si="40"/>
        <v>0.34552391944591071</v>
      </c>
      <c r="F84" s="23">
        <f t="shared" si="40"/>
        <v>4.0030298023845466E-2</v>
      </c>
      <c r="G84" s="23">
        <f t="shared" si="40"/>
        <v>0.65364653458654376</v>
      </c>
      <c r="H84" s="23">
        <f t="shared" si="40"/>
        <v>0.36588573592529505</v>
      </c>
      <c r="I84" s="23">
        <f t="shared" si="40"/>
        <v>0.54946946006987019</v>
      </c>
      <c r="J84" s="23">
        <f t="shared" si="40"/>
        <v>0.20259668220250909</v>
      </c>
      <c r="K84" s="23">
        <f t="shared" si="40"/>
        <v>0.83081104282077456</v>
      </c>
      <c r="L84" s="23">
        <f t="shared" si="40"/>
        <v>0.71481409842917709</v>
      </c>
      <c r="M84" s="23">
        <f t="shared" si="40"/>
        <v>0</v>
      </c>
      <c r="N84" s="23">
        <f t="shared" si="40"/>
        <v>0.2015123173050527</v>
      </c>
      <c r="O84" s="23">
        <f t="shared" si="40"/>
        <v>0</v>
      </c>
      <c r="P84" s="26"/>
      <c r="Q84" s="7">
        <f t="shared" si="39"/>
        <v>0.38537527200134741</v>
      </c>
      <c r="R84" s="7">
        <f t="shared" si="39"/>
        <v>0.76362947919397428</v>
      </c>
      <c r="S84" s="5"/>
      <c r="T84" s="5"/>
    </row>
    <row r="85" spans="1:58" x14ac:dyDescent="0.3">
      <c r="B85" s="3">
        <v>2040</v>
      </c>
      <c r="C85" s="23">
        <f t="shared" ref="C85:O85" si="41">IFERROR(C54/(8.76*C24),0)</f>
        <v>0.70423224199958567</v>
      </c>
      <c r="D85" s="23">
        <f t="shared" si="41"/>
        <v>0.87895861824492127</v>
      </c>
      <c r="E85" s="23">
        <f t="shared" si="41"/>
        <v>0.34443747472838521</v>
      </c>
      <c r="F85" s="23">
        <f t="shared" si="41"/>
        <v>3.3332135400823748E-2</v>
      </c>
      <c r="G85" s="23">
        <f t="shared" si="41"/>
        <v>0.67654812699173028</v>
      </c>
      <c r="H85" s="23">
        <f t="shared" si="41"/>
        <v>0.34983496687030419</v>
      </c>
      <c r="I85" s="23">
        <f t="shared" si="41"/>
        <v>0.55103019637871775</v>
      </c>
      <c r="J85" s="23">
        <f t="shared" si="41"/>
        <v>0.20100859736059495</v>
      </c>
      <c r="K85" s="23">
        <f t="shared" si="41"/>
        <v>0.7793992126833722</v>
      </c>
      <c r="L85" s="23">
        <f t="shared" si="41"/>
        <v>0.72577042199573683</v>
      </c>
      <c r="M85" s="23">
        <f t="shared" si="41"/>
        <v>0</v>
      </c>
      <c r="N85" s="23">
        <f t="shared" si="41"/>
        <v>0.19695252985889006</v>
      </c>
      <c r="O85" s="23">
        <f t="shared" si="41"/>
        <v>0</v>
      </c>
      <c r="P85" s="26"/>
      <c r="Q85" s="7">
        <f t="shared" si="39"/>
        <v>0.48125540360158514</v>
      </c>
      <c r="R85" s="7">
        <f t="shared" si="39"/>
        <v>0.74897308245650973</v>
      </c>
      <c r="S85" s="5"/>
      <c r="T85" s="5"/>
    </row>
    <row r="86" spans="1:58" x14ac:dyDescent="0.3">
      <c r="B86" s="3">
        <v>2050</v>
      </c>
      <c r="C86" s="23">
        <f t="shared" ref="C86:O86" si="42">IFERROR(C55/(8.76*C25),0)</f>
        <v>0.72245050026861513</v>
      </c>
      <c r="D86" s="23">
        <f t="shared" si="42"/>
        <v>0</v>
      </c>
      <c r="E86" s="23">
        <f t="shared" si="42"/>
        <v>0.33274505900041812</v>
      </c>
      <c r="F86" s="23">
        <f t="shared" si="42"/>
        <v>3.3756544198861607E-2</v>
      </c>
      <c r="G86" s="23">
        <f t="shared" si="42"/>
        <v>0.67005148086120014</v>
      </c>
      <c r="H86" s="23">
        <f t="shared" si="42"/>
        <v>0.34356055231544264</v>
      </c>
      <c r="I86" s="23">
        <f t="shared" si="42"/>
        <v>0</v>
      </c>
      <c r="J86" s="23">
        <f t="shared" si="42"/>
        <v>0.18983712401370173</v>
      </c>
      <c r="K86" s="23">
        <f t="shared" si="42"/>
        <v>0.68343876693673378</v>
      </c>
      <c r="L86" s="23">
        <f t="shared" si="42"/>
        <v>0.69438837339867732</v>
      </c>
      <c r="M86" s="23">
        <f t="shared" si="42"/>
        <v>0</v>
      </c>
      <c r="N86" s="23">
        <f t="shared" si="42"/>
        <v>0.19858335024772636</v>
      </c>
      <c r="O86" s="23">
        <f t="shared" si="42"/>
        <v>0</v>
      </c>
      <c r="P86" s="26"/>
      <c r="Q86" s="7">
        <f t="shared" si="39"/>
        <v>0.47806828549908159</v>
      </c>
      <c r="R86" s="7">
        <f t="shared" si="39"/>
        <v>0.68890322082322353</v>
      </c>
      <c r="S86" s="5"/>
      <c r="T86" s="5"/>
    </row>
    <row r="87" spans="1:58" s="11" customFormat="1" x14ac:dyDescent="0.3">
      <c r="C87" s="12"/>
      <c r="D87" s="12"/>
      <c r="E87" s="14"/>
      <c r="F87" s="14"/>
      <c r="G87" s="14"/>
      <c r="H87" s="16"/>
      <c r="I87" s="14"/>
      <c r="J87" s="14"/>
      <c r="K87" s="16"/>
      <c r="L87" s="14"/>
      <c r="M87" s="16"/>
      <c r="N87" s="20"/>
      <c r="O87" s="20"/>
      <c r="P87" s="20"/>
    </row>
    <row r="88" spans="1:58" s="9" customFormat="1" ht="21" x14ac:dyDescent="0.4">
      <c r="B88" s="10" t="s">
        <v>57</v>
      </c>
    </row>
    <row r="89" spans="1:58" ht="28.8" x14ac:dyDescent="0.3">
      <c r="B89" s="43" t="s">
        <v>56</v>
      </c>
      <c r="C89" s="43" t="s">
        <v>0</v>
      </c>
      <c r="D89" s="43" t="s">
        <v>1</v>
      </c>
      <c r="E89" s="43" t="s">
        <v>28</v>
      </c>
      <c r="F89" s="2" t="s">
        <v>29</v>
      </c>
      <c r="G89" s="2" t="s">
        <v>6</v>
      </c>
      <c r="H89" s="43" t="s">
        <v>2</v>
      </c>
      <c r="I89" s="43" t="s">
        <v>3</v>
      </c>
      <c r="J89" s="43" t="s">
        <v>4</v>
      </c>
      <c r="K89" s="43" t="s">
        <v>9</v>
      </c>
      <c r="L89" s="43" t="s">
        <v>8</v>
      </c>
      <c r="M89" s="43" t="s">
        <v>25</v>
      </c>
      <c r="N89" s="43" t="s">
        <v>7</v>
      </c>
      <c r="O89" s="43" t="s">
        <v>89</v>
      </c>
      <c r="P89" s="25"/>
      <c r="Q89" s="43"/>
      <c r="R89" s="43"/>
      <c r="T89" s="43"/>
      <c r="U89" s="25"/>
      <c r="V89" s="25"/>
      <c r="W89" s="25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</row>
    <row r="90" spans="1:58" x14ac:dyDescent="0.3">
      <c r="A90" s="15"/>
      <c r="B90" s="3">
        <v>2016</v>
      </c>
      <c r="C90" s="80">
        <f>Y90*(Inputs_Summary!$M72/$Y52)</f>
        <v>237361.23967653932</v>
      </c>
      <c r="D90" s="80">
        <f>Z90*(Inputs_Summary!$M72/$Y52)</f>
        <v>14483.908918227477</v>
      </c>
      <c r="E90" s="80">
        <f>AA90*(Inputs_Summary!$M72/$Y52)</f>
        <v>2953.3918178067293</v>
      </c>
      <c r="F90" s="80">
        <f>AB90*(Inputs_Summary!$M72/$Y52)</f>
        <v>26109.111840910784</v>
      </c>
      <c r="G90" s="80">
        <f>AC90*(Inputs_Summary!$M72/$Y52)</f>
        <v>17279.155266936097</v>
      </c>
      <c r="H90" s="44">
        <f>AD90*(Inputs_Summary!$M72/$Y52)</f>
        <v>4573.4046786099279</v>
      </c>
      <c r="I90" s="80">
        <f>AE90*(Inputs_Summary!$M72/$Y52)</f>
        <v>922.30319981359185</v>
      </c>
      <c r="J90" s="44">
        <f>AF90*(Inputs_Summary!$M72/$Y52)</f>
        <v>2684.1837758456386</v>
      </c>
      <c r="K90" s="80">
        <f>AG90*(Inputs_Summary!$M72/$Y52)</f>
        <v>0</v>
      </c>
      <c r="L90" s="80">
        <f>AH90*(Inputs_Summary!$M72/$Y52)</f>
        <v>1875.5851175839462</v>
      </c>
      <c r="M90" s="80">
        <f>AI90*(Inputs_Summary!$M72/$Y52)</f>
        <v>0</v>
      </c>
      <c r="N90" s="80">
        <f>AJ90*(Inputs_Summary!$M72/$Y52)</f>
        <v>12224.544031685698</v>
      </c>
      <c r="O90" s="80" t="e">
        <f>AK90*(Inputs_Summary!#REF!/$Y52)</f>
        <v>#REF!</v>
      </c>
      <c r="P90" s="83"/>
      <c r="Q90" s="39"/>
      <c r="R90" s="5"/>
      <c r="T90" s="5"/>
      <c r="U90" s="24"/>
      <c r="V90" s="24"/>
      <c r="W90" s="26"/>
      <c r="X90" s="39"/>
      <c r="Y90" s="82">
        <v>235642</v>
      </c>
      <c r="Z90" s="39">
        <v>14379</v>
      </c>
      <c r="AA90" s="39">
        <v>2932</v>
      </c>
      <c r="AB90" s="39">
        <v>25920</v>
      </c>
      <c r="AC90" s="39">
        <v>17154</v>
      </c>
      <c r="AD90" s="39">
        <v>4540.2788877644989</v>
      </c>
      <c r="AE90" s="39">
        <v>915.6228325511039</v>
      </c>
      <c r="AF90" s="39">
        <v>2664.7418684270319</v>
      </c>
      <c r="AG90" s="39">
        <v>0</v>
      </c>
      <c r="AH90" s="39">
        <v>1862</v>
      </c>
      <c r="AI90" s="39">
        <v>0</v>
      </c>
      <c r="AJ90" s="39">
        <v>12136</v>
      </c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</row>
    <row r="91" spans="1:58" x14ac:dyDescent="0.3">
      <c r="A91" s="15"/>
      <c r="B91" s="3">
        <v>2030</v>
      </c>
      <c r="C91" s="80">
        <f>Y91*(Inputs_Summary!$M73/$Y53)</f>
        <v>224226.11488664674</v>
      </c>
      <c r="D91" s="80">
        <f>Z91*(Inputs_Summary!$M73/$Y53)</f>
        <v>14666.348118594995</v>
      </c>
      <c r="E91" s="80">
        <f>AA91*(Inputs_Summary!$M73/$Y53)</f>
        <v>31348.184371437412</v>
      </c>
      <c r="F91" s="80">
        <f>AB91*(Inputs_Summary!$M73/$Y53)</f>
        <v>69830.135954882149</v>
      </c>
      <c r="G91" s="80">
        <f>AC91*(Inputs_Summary!$M73/$Y53)</f>
        <v>17765.059126613047</v>
      </c>
      <c r="H91" s="44">
        <f>AD91*(Inputs_Summary!$M73/$Y53)</f>
        <v>49074.484110853395</v>
      </c>
      <c r="I91" s="80">
        <f>AE91*(Inputs_Summary!$M73/$Y53)</f>
        <v>5054.0200937226646</v>
      </c>
      <c r="J91" s="44">
        <f>AF91*(Inputs_Summary!$M73/$Y53)</f>
        <v>10134.559768159112</v>
      </c>
      <c r="K91" s="80">
        <f>AG91*(Inputs_Summary!$M73/$Y53)</f>
        <v>2265.3841832811381</v>
      </c>
      <c r="L91" s="80">
        <f>AH91*(Inputs_Summary!$M73/$Y53)</f>
        <v>3054.851701452953</v>
      </c>
      <c r="M91" s="80">
        <f>AI91*(Inputs_Summary!$M73/$Y53)</f>
        <v>0</v>
      </c>
      <c r="N91" s="80">
        <f>AJ91*(Inputs_Summary!$M73/$Y53)</f>
        <v>25596.495308167563</v>
      </c>
      <c r="O91" s="80" t="e">
        <f>AK91*(Inputs_Summary!#REF!/$Y53)</f>
        <v>#REF!</v>
      </c>
      <c r="P91" s="83"/>
      <c r="Q91" s="39"/>
      <c r="R91" s="5"/>
      <c r="T91" s="5"/>
      <c r="U91" s="24"/>
      <c r="V91" s="24"/>
      <c r="W91" s="26"/>
      <c r="X91" s="39"/>
      <c r="Y91" s="82">
        <v>219833</v>
      </c>
      <c r="Z91" s="82">
        <v>14379</v>
      </c>
      <c r="AA91" s="82">
        <v>30734</v>
      </c>
      <c r="AB91" s="82">
        <v>68462</v>
      </c>
      <c r="AC91" s="82">
        <v>17417</v>
      </c>
      <c r="AD91" s="82">
        <v>48113</v>
      </c>
      <c r="AE91" s="82">
        <v>4955</v>
      </c>
      <c r="AF91" s="82">
        <v>9936</v>
      </c>
      <c r="AG91" s="82">
        <v>2221</v>
      </c>
      <c r="AH91" s="82">
        <v>2995</v>
      </c>
      <c r="AI91" s="82">
        <v>0</v>
      </c>
      <c r="AJ91" s="82">
        <v>25095</v>
      </c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</row>
    <row r="92" spans="1:58" x14ac:dyDescent="0.3">
      <c r="A92" s="15"/>
      <c r="B92" s="3">
        <v>2040</v>
      </c>
      <c r="C92" s="80">
        <f>Y92*(Inputs_Summary!$M74/$Y54)</f>
        <v>122266.65652600156</v>
      </c>
      <c r="D92" s="80">
        <f>Z92*(Inputs_Summary!$M74/$Y54)</f>
        <v>14753.221337183999</v>
      </c>
      <c r="E92" s="80">
        <f>AA92*(Inputs_Summary!$M74/$Y54)</f>
        <v>77002.757177359919</v>
      </c>
      <c r="F92" s="80">
        <f>AB92*(Inputs_Summary!$M74/$Y54)</f>
        <v>142252.94820475971</v>
      </c>
      <c r="G92" s="80">
        <f>AC92*(Inputs_Summary!$M74/$Y54)</f>
        <v>38032.400686259098</v>
      </c>
      <c r="H92" s="44">
        <f>AD92*(Inputs_Summary!$M74/$Y54)</f>
        <v>124820.42698822054</v>
      </c>
      <c r="I92" s="80">
        <f>AE92*(Inputs_Summary!$M74/$Y54)</f>
        <v>5068.3757462914464</v>
      </c>
      <c r="J92" s="44">
        <f>AF92*(Inputs_Summary!$M74/$Y54)</f>
        <v>36046.023189495776</v>
      </c>
      <c r="K92" s="80">
        <f>AG92*(Inputs_Summary!$M74/$Y54)</f>
        <v>2387.0673962620899</v>
      </c>
      <c r="L92" s="80">
        <f>AH92*(Inputs_Summary!$M74/$Y54)</f>
        <v>3065.9304841346911</v>
      </c>
      <c r="M92" s="80">
        <f>AI92*(Inputs_Summary!$M74/$Y54)</f>
        <v>0</v>
      </c>
      <c r="N92" s="80">
        <f>AJ92*(Inputs_Summary!$M74/$Y54)</f>
        <v>25626.077331853601</v>
      </c>
      <c r="O92" s="80" t="e">
        <f>AK92*(Inputs_Summary!#REF!/$Y54)</f>
        <v>#REF!</v>
      </c>
      <c r="P92" s="83"/>
      <c r="Q92" s="39"/>
      <c r="R92" s="5"/>
      <c r="T92" s="5"/>
      <c r="U92" s="24"/>
      <c r="V92" s="24"/>
      <c r="W92" s="26"/>
      <c r="X92" s="39"/>
      <c r="Y92" s="82">
        <v>121751</v>
      </c>
      <c r="Z92" s="82">
        <v>14691</v>
      </c>
      <c r="AA92" s="82">
        <v>76678</v>
      </c>
      <c r="AB92" s="82">
        <v>141653</v>
      </c>
      <c r="AC92" s="82">
        <v>37872</v>
      </c>
      <c r="AD92" s="82">
        <v>124294</v>
      </c>
      <c r="AE92" s="82">
        <v>5047</v>
      </c>
      <c r="AF92" s="82">
        <v>35894</v>
      </c>
      <c r="AG92" s="82">
        <v>2377</v>
      </c>
      <c r="AH92" s="82">
        <v>3053</v>
      </c>
      <c r="AI92" s="82">
        <v>0</v>
      </c>
      <c r="AJ92" s="82">
        <v>25518</v>
      </c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</row>
    <row r="93" spans="1:58" x14ac:dyDescent="0.3">
      <c r="A93" s="15"/>
      <c r="B93" s="3">
        <v>2050</v>
      </c>
      <c r="C93" s="80">
        <f>Y93*(Inputs_Summary!$M75/$Y55)</f>
        <v>105462.328147305</v>
      </c>
      <c r="D93" s="80">
        <f>Z93*(Inputs_Summary!$M75/$Y55)</f>
        <v>0</v>
      </c>
      <c r="E93" s="80">
        <f>AA93*(Inputs_Summary!$M75/$Y55)</f>
        <v>99785.810600546596</v>
      </c>
      <c r="F93" s="80">
        <f>AB93*(Inputs_Summary!$M75/$Y55)</f>
        <v>181663.82642333992</v>
      </c>
      <c r="G93" s="80">
        <f>AC93*(Inputs_Summary!$M75/$Y55)</f>
        <v>37862.10744480935</v>
      </c>
      <c r="H93" s="44">
        <f>AD93*(Inputs_Summary!$M75/$Y55)</f>
        <v>172715.52617438929</v>
      </c>
      <c r="I93" s="80">
        <f>AE93*(Inputs_Summary!$M75/$Y55)</f>
        <v>0</v>
      </c>
      <c r="J93" s="44">
        <f>AF93*(Inputs_Summary!$M75/$Y55)</f>
        <v>54075.495317694782</v>
      </c>
      <c r="K93" s="80">
        <f>AG93*(Inputs_Summary!$M75/$Y55)</f>
        <v>1972.2285775578691</v>
      </c>
      <c r="L93" s="80">
        <f>AH93*(Inputs_Summary!$M75/$Y55)</f>
        <v>1853.1621464049947</v>
      </c>
      <c r="M93" s="80">
        <f>AI93*(Inputs_Summary!$M75/$Y55)</f>
        <v>0</v>
      </c>
      <c r="N93" s="80">
        <f>AJ93*(Inputs_Summary!$M75/$Y55)</f>
        <v>25639.989170057022</v>
      </c>
      <c r="O93" s="80" t="e">
        <f>AK93*(Inputs_Summary!#REF!/$Y55)</f>
        <v>#REF!</v>
      </c>
      <c r="P93" s="83"/>
      <c r="Q93" s="39"/>
      <c r="R93" s="5"/>
      <c r="T93" s="5"/>
      <c r="U93" s="24"/>
      <c r="V93" s="24"/>
      <c r="W93" s="26"/>
      <c r="X93" s="39"/>
      <c r="Y93" s="82">
        <v>103632</v>
      </c>
      <c r="Z93" s="82">
        <v>0</v>
      </c>
      <c r="AA93" s="82">
        <v>98054</v>
      </c>
      <c r="AB93" s="82">
        <v>178511</v>
      </c>
      <c r="AC93" s="82">
        <v>37205</v>
      </c>
      <c r="AD93" s="82">
        <v>169718</v>
      </c>
      <c r="AE93" s="82">
        <v>0</v>
      </c>
      <c r="AF93" s="82">
        <v>53137</v>
      </c>
      <c r="AG93" s="82">
        <v>1938</v>
      </c>
      <c r="AH93" s="82">
        <v>1821</v>
      </c>
      <c r="AI93" s="82">
        <v>0</v>
      </c>
      <c r="AJ93" s="82">
        <v>25195</v>
      </c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</row>
    <row r="94" spans="1:58" s="11" customFormat="1" x14ac:dyDescent="0.3">
      <c r="A94" s="20"/>
      <c r="C94" s="83"/>
      <c r="D94" s="83"/>
      <c r="E94" s="83"/>
      <c r="F94" s="83"/>
      <c r="G94" s="83"/>
      <c r="H94" s="56"/>
      <c r="I94" s="83"/>
      <c r="J94" s="56"/>
      <c r="K94" s="83"/>
      <c r="L94" s="83"/>
      <c r="M94" s="83"/>
      <c r="N94" s="83"/>
      <c r="O94" s="83"/>
      <c r="P94" s="83"/>
      <c r="Q94" s="12"/>
      <c r="R94" s="57"/>
      <c r="T94" s="57"/>
      <c r="U94" s="24"/>
      <c r="V94" s="24"/>
      <c r="W94" s="26"/>
      <c r="X94" s="1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</row>
    <row r="95" spans="1:58" ht="28.8" x14ac:dyDescent="0.3">
      <c r="B95" s="43" t="s">
        <v>54</v>
      </c>
      <c r="C95" s="43" t="s">
        <v>0</v>
      </c>
      <c r="D95" s="43" t="s">
        <v>1</v>
      </c>
      <c r="E95" s="43" t="s">
        <v>28</v>
      </c>
      <c r="F95" s="2" t="s">
        <v>29</v>
      </c>
      <c r="G95" s="2" t="s">
        <v>6</v>
      </c>
      <c r="H95" s="43" t="s">
        <v>2</v>
      </c>
      <c r="I95" s="43" t="s">
        <v>3</v>
      </c>
      <c r="J95" s="43" t="s">
        <v>4</v>
      </c>
      <c r="K95" s="43" t="s">
        <v>9</v>
      </c>
      <c r="L95" s="43" t="s">
        <v>8</v>
      </c>
      <c r="M95" s="43" t="s">
        <v>25</v>
      </c>
      <c r="N95" s="43" t="s">
        <v>7</v>
      </c>
      <c r="O95" s="43" t="s">
        <v>89</v>
      </c>
      <c r="P95" s="25"/>
      <c r="Q95" s="43"/>
      <c r="R95" s="43"/>
      <c r="T95" s="43"/>
      <c r="U95" s="25"/>
      <c r="V95" s="25"/>
      <c r="W95" s="25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</row>
    <row r="96" spans="1:58" x14ac:dyDescent="0.3">
      <c r="A96" s="15"/>
      <c r="B96" s="3">
        <v>2016</v>
      </c>
      <c r="C96" s="80">
        <f t="shared" ref="C96:O99" si="43">C90-C52</f>
        <v>37415.718339017825</v>
      </c>
      <c r="D96" s="80">
        <f t="shared" si="43"/>
        <v>-259.96992578286336</v>
      </c>
      <c r="E96" s="80">
        <f t="shared" si="43"/>
        <v>2197.3150618184891</v>
      </c>
      <c r="F96" s="80">
        <f t="shared" si="43"/>
        <v>24084.798169644193</v>
      </c>
      <c r="G96" s="80">
        <f t="shared" si="43"/>
        <v>1480.0309981170321</v>
      </c>
      <c r="H96" s="50">
        <f t="shared" si="43"/>
        <v>76.899489874474966</v>
      </c>
      <c r="I96" s="80">
        <f t="shared" si="43"/>
        <v>10.91018985537994</v>
      </c>
      <c r="J96" s="50">
        <f t="shared" si="43"/>
        <v>45.097541244736476</v>
      </c>
      <c r="K96" s="80">
        <f t="shared" si="43"/>
        <v>0</v>
      </c>
      <c r="L96" s="80">
        <f t="shared" si="43"/>
        <v>253.34921837030174</v>
      </c>
      <c r="M96" s="80">
        <f t="shared" si="43"/>
        <v>0</v>
      </c>
      <c r="N96" s="80">
        <f t="shared" si="43"/>
        <v>9230.1510556878038</v>
      </c>
      <c r="O96" s="80" t="e">
        <f t="shared" si="43"/>
        <v>#REF!</v>
      </c>
      <c r="P96" s="83"/>
      <c r="Q96" s="39"/>
      <c r="R96" s="5"/>
      <c r="T96" s="5"/>
      <c r="U96" s="24"/>
      <c r="V96" s="24"/>
      <c r="W96" s="26"/>
      <c r="X96" s="39"/>
      <c r="Y96" s="82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</row>
    <row r="97" spans="1:58" x14ac:dyDescent="0.3">
      <c r="A97" s="15"/>
      <c r="B97" s="3">
        <v>2030</v>
      </c>
      <c r="C97" s="80">
        <f t="shared" ref="C97:N97" si="44">C91-C53</f>
        <v>27076.491908771306</v>
      </c>
      <c r="D97" s="80">
        <f t="shared" si="44"/>
        <v>56.099113048385334</v>
      </c>
      <c r="E97" s="80">
        <f t="shared" si="44"/>
        <v>18984.959839447016</v>
      </c>
      <c r="F97" s="80">
        <f t="shared" si="44"/>
        <v>66668.185946700469</v>
      </c>
      <c r="G97" s="80">
        <f t="shared" si="44"/>
        <v>5030.5604646297015</v>
      </c>
      <c r="H97" s="50">
        <f t="shared" si="44"/>
        <v>16.31974197771342</v>
      </c>
      <c r="I97" s="80">
        <f t="shared" si="44"/>
        <v>0</v>
      </c>
      <c r="J97" s="50">
        <f t="shared" si="44"/>
        <v>-1.0199838736061793</v>
      </c>
      <c r="K97" s="80">
        <f t="shared" si="44"/>
        <v>60.179048542812779</v>
      </c>
      <c r="L97" s="80">
        <f t="shared" si="44"/>
        <v>443.69298501904314</v>
      </c>
      <c r="M97" s="80">
        <f t="shared" si="44"/>
        <v>0</v>
      </c>
      <c r="N97" s="80">
        <f t="shared" si="44"/>
        <v>19868.265873990673</v>
      </c>
      <c r="O97" s="80" t="e">
        <f t="shared" si="43"/>
        <v>#REF!</v>
      </c>
      <c r="P97" s="83"/>
      <c r="Q97" s="39"/>
      <c r="R97" s="5"/>
      <c r="T97" s="5"/>
      <c r="U97" s="24"/>
      <c r="V97" s="24"/>
      <c r="W97" s="26"/>
      <c r="X97" s="39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</row>
    <row r="98" spans="1:58" x14ac:dyDescent="0.3">
      <c r="A98" s="15"/>
      <c r="B98" s="3">
        <v>2040</v>
      </c>
      <c r="C98" s="80">
        <f t="shared" ref="C98:N98" si="45">C92-C54</f>
        <v>16183.252457199662</v>
      </c>
      <c r="D98" s="80">
        <f t="shared" si="45"/>
        <v>431.82119494854851</v>
      </c>
      <c r="E98" s="80">
        <f t="shared" si="45"/>
        <v>47009.26036450344</v>
      </c>
      <c r="F98" s="80">
        <f t="shared" si="45"/>
        <v>136910.41621144279</v>
      </c>
      <c r="G98" s="80">
        <f t="shared" si="45"/>
        <v>10035.32372353684</v>
      </c>
      <c r="H98" s="50">
        <f t="shared" si="45"/>
        <v>705.9774419740279</v>
      </c>
      <c r="I98" s="80">
        <f t="shared" si="45"/>
        <v>0</v>
      </c>
      <c r="J98" s="50">
        <f t="shared" si="45"/>
        <v>535.25743466878339</v>
      </c>
      <c r="K98" s="80">
        <f t="shared" si="45"/>
        <v>215.9105974742738</v>
      </c>
      <c r="L98" s="80">
        <f t="shared" si="45"/>
        <v>414.74919421802406</v>
      </c>
      <c r="M98" s="80">
        <f t="shared" si="45"/>
        <v>0</v>
      </c>
      <c r="N98" s="80">
        <f t="shared" si="45"/>
        <v>20027.465327578822</v>
      </c>
      <c r="O98" s="80" t="e">
        <f t="shared" si="43"/>
        <v>#REF!</v>
      </c>
      <c r="P98" s="83"/>
      <c r="Q98" s="39"/>
      <c r="R98" s="5"/>
      <c r="T98" s="5"/>
      <c r="U98" s="24"/>
      <c r="V98" s="24"/>
      <c r="W98" s="26"/>
      <c r="X98" s="39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</row>
    <row r="99" spans="1:58" x14ac:dyDescent="0.3">
      <c r="A99" s="15"/>
      <c r="B99" s="3">
        <v>2050</v>
      </c>
      <c r="C99" s="80">
        <f t="shared" ref="C99:N99" si="46">C93-C55</f>
        <v>17139.460115185575</v>
      </c>
      <c r="D99" s="80">
        <f t="shared" si="46"/>
        <v>0</v>
      </c>
      <c r="E99" s="80">
        <f t="shared" si="46"/>
        <v>62275.814140172239</v>
      </c>
      <c r="F99" s="80">
        <f t="shared" si="46"/>
        <v>174754.92043105903</v>
      </c>
      <c r="G99" s="80">
        <f t="shared" si="46"/>
        <v>10133.87625145576</v>
      </c>
      <c r="H99" s="50">
        <f t="shared" si="46"/>
        <v>2974.6254552124301</v>
      </c>
      <c r="I99" s="80">
        <f t="shared" si="46"/>
        <v>0</v>
      </c>
      <c r="J99" s="50">
        <f t="shared" si="46"/>
        <v>3521.1098443499577</v>
      </c>
      <c r="K99" s="80">
        <f t="shared" si="46"/>
        <v>385.69382399093524</v>
      </c>
      <c r="L99" s="80">
        <f t="shared" si="46"/>
        <v>247.29181854827766</v>
      </c>
      <c r="M99" s="80">
        <f t="shared" si="46"/>
        <v>0</v>
      </c>
      <c r="N99" s="80">
        <f t="shared" si="46"/>
        <v>19995.019139245102</v>
      </c>
      <c r="O99" s="80" t="e">
        <f t="shared" si="43"/>
        <v>#REF!</v>
      </c>
      <c r="P99" s="83"/>
      <c r="Q99" s="39"/>
      <c r="R99" s="5"/>
      <c r="T99" s="5"/>
      <c r="U99" s="24"/>
      <c r="V99" s="24"/>
      <c r="W99" s="26"/>
      <c r="X99" s="39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</row>
    <row r="100" spans="1:58" s="11" customFormat="1" x14ac:dyDescent="0.3">
      <c r="A100" s="20"/>
      <c r="C100" s="83"/>
      <c r="D100" s="83"/>
      <c r="E100" s="83"/>
      <c r="F100" s="83"/>
      <c r="G100" s="83"/>
      <c r="H100" s="56"/>
      <c r="I100" s="83"/>
      <c r="J100" s="56"/>
      <c r="K100" s="83"/>
      <c r="L100" s="83"/>
      <c r="M100" s="83"/>
      <c r="N100" s="83"/>
      <c r="O100" s="83"/>
      <c r="P100" s="83"/>
      <c r="Q100" s="12"/>
      <c r="R100" s="57"/>
      <c r="T100" s="57"/>
      <c r="U100" s="24"/>
      <c r="V100" s="24"/>
      <c r="W100" s="26"/>
      <c r="X100" s="1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</row>
    <row r="101" spans="1:58" s="11" customFormat="1" ht="28.8" x14ac:dyDescent="0.3">
      <c r="A101" s="20"/>
      <c r="B101" s="43" t="s">
        <v>55</v>
      </c>
      <c r="C101" s="43" t="s">
        <v>0</v>
      </c>
      <c r="D101" s="43" t="s">
        <v>1</v>
      </c>
      <c r="E101" s="43" t="s">
        <v>28</v>
      </c>
      <c r="F101" s="2" t="s">
        <v>29</v>
      </c>
      <c r="G101" s="2" t="s">
        <v>6</v>
      </c>
      <c r="H101" s="43" t="s">
        <v>2</v>
      </c>
      <c r="I101" s="43" t="s">
        <v>3</v>
      </c>
      <c r="J101" s="43" t="s">
        <v>4</v>
      </c>
      <c r="K101" s="43" t="s">
        <v>9</v>
      </c>
      <c r="L101" s="43" t="s">
        <v>8</v>
      </c>
      <c r="M101" s="43" t="s">
        <v>25</v>
      </c>
      <c r="N101" s="43" t="s">
        <v>7</v>
      </c>
      <c r="O101" s="43" t="s">
        <v>89</v>
      </c>
      <c r="P101" s="25"/>
      <c r="Q101" s="12"/>
      <c r="R101" s="57"/>
      <c r="T101" s="57"/>
      <c r="U101" s="24"/>
      <c r="V101" s="24"/>
      <c r="W101" s="26"/>
      <c r="Y101" s="14"/>
    </row>
    <row r="102" spans="1:58" x14ac:dyDescent="0.3">
      <c r="B102" s="3">
        <v>2016</v>
      </c>
      <c r="C102" s="81">
        <f>IFERROR(C96/C90,"")</f>
        <v>0.15763196379495475</v>
      </c>
      <c r="D102" s="81">
        <f t="shared" ref="D102:O105" si="47">IFERROR(D96/D90,"")</f>
        <v>-1.7948878804098289E-2</v>
      </c>
      <c r="E102" s="81">
        <f t="shared" si="47"/>
        <v>0.74399713866962502</v>
      </c>
      <c r="F102" s="81">
        <f t="shared" si="47"/>
        <v>0.92246715692202663</v>
      </c>
      <c r="G102" s="81">
        <f t="shared" si="47"/>
        <v>8.5654129224076822E-2</v>
      </c>
      <c r="H102" s="23">
        <f t="shared" si="47"/>
        <v>1.681449495036777E-2</v>
      </c>
      <c r="I102" s="81">
        <f t="shared" si="47"/>
        <v>1.1829287654629211E-2</v>
      </c>
      <c r="J102" s="23">
        <f t="shared" si="47"/>
        <v>1.6801212216003624E-2</v>
      </c>
      <c r="K102" s="81" t="str">
        <f t="shared" si="47"/>
        <v/>
      </c>
      <c r="L102" s="81">
        <f t="shared" si="47"/>
        <v>0.1350774305016112</v>
      </c>
      <c r="M102" s="81" t="str">
        <f t="shared" si="47"/>
        <v/>
      </c>
      <c r="N102" s="81">
        <f t="shared" si="47"/>
        <v>0.75505074314129783</v>
      </c>
      <c r="O102" s="81" t="str">
        <f t="shared" si="47"/>
        <v/>
      </c>
      <c r="P102" s="98"/>
      <c r="Q102" s="7"/>
      <c r="R102" s="7"/>
      <c r="T102" s="8"/>
    </row>
    <row r="103" spans="1:58" x14ac:dyDescent="0.3">
      <c r="B103" s="3">
        <v>2030</v>
      </c>
      <c r="C103" s="81">
        <f t="shared" ref="C103:N105" si="48">IFERROR(C97/C91,"")</f>
        <v>0.12075530061455737</v>
      </c>
      <c r="D103" s="81">
        <f t="shared" si="48"/>
        <v>3.8250226024063249E-3</v>
      </c>
      <c r="E103" s="81">
        <f t="shared" si="48"/>
        <v>0.60561593024012494</v>
      </c>
      <c r="F103" s="81">
        <f t="shared" si="48"/>
        <v>0.95471940638602448</v>
      </c>
      <c r="G103" s="81">
        <f t="shared" si="48"/>
        <v>0.28317161394040297</v>
      </c>
      <c r="H103" s="23">
        <f t="shared" si="48"/>
        <v>3.325504541392442E-4</v>
      </c>
      <c r="I103" s="81">
        <f t="shared" si="48"/>
        <v>0</v>
      </c>
      <c r="J103" s="23">
        <f t="shared" si="48"/>
        <v>-1.0064412238317223E-4</v>
      </c>
      <c r="K103" s="81">
        <f t="shared" si="48"/>
        <v>2.6564610535794692E-2</v>
      </c>
      <c r="L103" s="81">
        <f t="shared" si="48"/>
        <v>0.14524207011686141</v>
      </c>
      <c r="M103" s="81" t="str">
        <f t="shared" si="48"/>
        <v/>
      </c>
      <c r="N103" s="81">
        <f t="shared" si="48"/>
        <v>0.7762104004781829</v>
      </c>
      <c r="O103" s="81" t="str">
        <f t="shared" si="47"/>
        <v/>
      </c>
      <c r="P103" s="98"/>
      <c r="Q103" s="7"/>
      <c r="R103" s="7"/>
      <c r="T103" s="8"/>
    </row>
    <row r="104" spans="1:58" x14ac:dyDescent="0.3">
      <c r="B104" s="3">
        <v>2040</v>
      </c>
      <c r="C104" s="81">
        <f t="shared" si="48"/>
        <v>0.13236030915557168</v>
      </c>
      <c r="D104" s="81">
        <f t="shared" si="48"/>
        <v>2.9269620856306612E-2</v>
      </c>
      <c r="E104" s="81">
        <f t="shared" si="48"/>
        <v>0.61048801481520121</v>
      </c>
      <c r="F104" s="81">
        <f t="shared" si="48"/>
        <v>0.96244343571968116</v>
      </c>
      <c r="G104" s="81">
        <f t="shared" si="48"/>
        <v>0.26386248415716096</v>
      </c>
      <c r="H104" s="23">
        <f t="shared" si="48"/>
        <v>5.6559447760954375E-3</v>
      </c>
      <c r="I104" s="81">
        <f t="shared" si="48"/>
        <v>0</v>
      </c>
      <c r="J104" s="23">
        <f t="shared" si="48"/>
        <v>1.4849278430935581E-2</v>
      </c>
      <c r="K104" s="81">
        <f t="shared" si="48"/>
        <v>9.0450147244425655E-2</v>
      </c>
      <c r="L104" s="81">
        <f t="shared" si="48"/>
        <v>0.13527677694071405</v>
      </c>
      <c r="M104" s="81" t="str">
        <f t="shared" si="48"/>
        <v/>
      </c>
      <c r="N104" s="81">
        <f t="shared" si="48"/>
        <v>0.78152676542048749</v>
      </c>
      <c r="O104" s="81" t="str">
        <f t="shared" si="47"/>
        <v/>
      </c>
      <c r="P104" s="98"/>
      <c r="Q104" s="7"/>
      <c r="R104" s="7"/>
      <c r="T104" s="8"/>
    </row>
    <row r="105" spans="1:58" x14ac:dyDescent="0.3">
      <c r="B105" s="3">
        <v>2050</v>
      </c>
      <c r="C105" s="81">
        <f t="shared" si="48"/>
        <v>0.16251736915238543</v>
      </c>
      <c r="D105" s="81" t="str">
        <f t="shared" si="48"/>
        <v/>
      </c>
      <c r="E105" s="81">
        <f t="shared" si="48"/>
        <v>0.62409488649111711</v>
      </c>
      <c r="F105" s="81">
        <f t="shared" si="48"/>
        <v>0.96196873021830587</v>
      </c>
      <c r="G105" s="81">
        <f t="shared" si="48"/>
        <v>0.26765219728531114</v>
      </c>
      <c r="H105" s="23">
        <f t="shared" si="48"/>
        <v>1.7222687045569823E-2</v>
      </c>
      <c r="I105" s="81" t="str">
        <f t="shared" si="48"/>
        <v/>
      </c>
      <c r="J105" s="23">
        <f t="shared" si="48"/>
        <v>6.511470350226764E-2</v>
      </c>
      <c r="K105" s="81">
        <f t="shared" si="48"/>
        <v>0.19556243550051602</v>
      </c>
      <c r="L105" s="81">
        <f t="shared" si="48"/>
        <v>0.13344316309719931</v>
      </c>
      <c r="M105" s="81" t="str">
        <f t="shared" si="48"/>
        <v/>
      </c>
      <c r="N105" s="81">
        <f t="shared" si="48"/>
        <v>0.77983726929946406</v>
      </c>
      <c r="O105" s="81" t="str">
        <f t="shared" si="47"/>
        <v/>
      </c>
      <c r="P105" s="98"/>
      <c r="Q105" s="7"/>
      <c r="R105" s="7"/>
      <c r="T105" s="8"/>
    </row>
    <row r="106" spans="1:58" x14ac:dyDescent="0.3"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</row>
    <row r="107" spans="1:58" s="9" customFormat="1" ht="21" x14ac:dyDescent="0.4">
      <c r="B107" s="10" t="s">
        <v>17</v>
      </c>
    </row>
    <row r="108" spans="1:58" s="32" customFormat="1" ht="21" x14ac:dyDescent="0.4">
      <c r="B108" s="31"/>
      <c r="P108" s="58"/>
    </row>
    <row r="109" spans="1:58" ht="28.8" x14ac:dyDescent="0.3">
      <c r="B109" s="43" t="s">
        <v>40</v>
      </c>
      <c r="C109" s="43" t="s">
        <v>0</v>
      </c>
      <c r="D109" s="43" t="s">
        <v>1</v>
      </c>
      <c r="E109" s="43" t="s">
        <v>28</v>
      </c>
      <c r="F109" s="2" t="s">
        <v>29</v>
      </c>
      <c r="G109" s="2" t="s">
        <v>6</v>
      </c>
      <c r="H109" s="43" t="s">
        <v>2</v>
      </c>
      <c r="I109" s="43" t="s">
        <v>3</v>
      </c>
      <c r="J109" s="43" t="s">
        <v>4</v>
      </c>
      <c r="K109" s="43" t="s">
        <v>9</v>
      </c>
      <c r="L109" s="43" t="s">
        <v>8</v>
      </c>
      <c r="M109" s="43" t="s">
        <v>25</v>
      </c>
      <c r="N109" s="43" t="s">
        <v>7</v>
      </c>
      <c r="O109" s="43" t="s">
        <v>89</v>
      </c>
      <c r="P109" s="25"/>
      <c r="Q109" s="43" t="s">
        <v>5</v>
      </c>
      <c r="R109" s="43" t="s">
        <v>91</v>
      </c>
      <c r="T109" s="43" t="s">
        <v>10</v>
      </c>
    </row>
    <row r="110" spans="1:58" x14ac:dyDescent="0.3">
      <c r="B110" s="3">
        <v>2016</v>
      </c>
      <c r="C110" s="51">
        <f>Inputs_Summary!E$5*C34/1000000</f>
        <v>210.12155916232655</v>
      </c>
      <c r="D110" s="51">
        <f>Inputs_Summary!F$5*D34/1000000</f>
        <v>0</v>
      </c>
      <c r="E110" s="51">
        <f>Inputs_Summary!G$5*E34/1000000</f>
        <v>0.27748016944768411</v>
      </c>
      <c r="F110" s="51">
        <f>Inputs_Summary!H$5*F34/1000000</f>
        <v>1.1619560473070238</v>
      </c>
      <c r="G110" s="51">
        <f>Inputs_Summary!I$5*G34/1000000</f>
        <v>0</v>
      </c>
      <c r="H110" s="51">
        <f>Inputs_Summary!J$5*H34/1000000</f>
        <v>0</v>
      </c>
      <c r="I110" s="51">
        <f>Inputs_Summary!K$5*I34/1000000</f>
        <v>0</v>
      </c>
      <c r="J110" s="51">
        <f>Inputs_Summary!L$5*J34/1000000</f>
        <v>0</v>
      </c>
      <c r="K110" s="51">
        <f>Inputs_Summary!M$5*K34/1000000</f>
        <v>0</v>
      </c>
      <c r="L110" s="51">
        <f>Inputs_Summary!N$5*L34/1000000</f>
        <v>0</v>
      </c>
      <c r="M110" s="51">
        <f>Inputs_Summary!O$5*M34/1000000</f>
        <v>0</v>
      </c>
      <c r="N110" s="51">
        <f>Inputs_Summary!P$5*N34/1000000</f>
        <v>5.9887859519957903E-4</v>
      </c>
      <c r="O110" s="51">
        <f>Inputs_Summary!R$5*O34/1000000</f>
        <v>0</v>
      </c>
      <c r="P110" s="97"/>
      <c r="Q110" s="39">
        <f>G110+N110</f>
        <v>5.9887859519957903E-4</v>
      </c>
      <c r="R110" s="5">
        <f>SUM(K110:L110)</f>
        <v>0</v>
      </c>
      <c r="T110" s="5">
        <f>SUM(C110:O110)</f>
        <v>211.56159425767646</v>
      </c>
    </row>
    <row r="111" spans="1:58" x14ac:dyDescent="0.3">
      <c r="B111" s="3">
        <v>2030</v>
      </c>
      <c r="C111" s="51">
        <f>Inputs_Summary!E$5*C35/1000000</f>
        <v>139.83017135757444</v>
      </c>
      <c r="D111" s="51">
        <f>Inputs_Summary!F$5*D35/1000000</f>
        <v>0</v>
      </c>
      <c r="E111" s="51">
        <f>Inputs_Summary!G$5*E35/1000000</f>
        <v>0.81679696608124075</v>
      </c>
      <c r="F111" s="51">
        <f>Inputs_Summary!H$5*F35/1000000</f>
        <v>0.13348732950669479</v>
      </c>
      <c r="G111" s="51">
        <f>Inputs_Summary!I$5*G35/1000000</f>
        <v>0</v>
      </c>
      <c r="H111" s="51">
        <f>Inputs_Summary!J$5*H35/1000000</f>
        <v>0</v>
      </c>
      <c r="I111" s="51">
        <f>Inputs_Summary!K$5*I35/1000000</f>
        <v>0</v>
      </c>
      <c r="J111" s="51">
        <f>Inputs_Summary!L$5*J35/1000000</f>
        <v>0</v>
      </c>
      <c r="K111" s="51">
        <f>Inputs_Summary!M$5*K35/1000000</f>
        <v>0</v>
      </c>
      <c r="L111" s="51">
        <f>Inputs_Summary!N$5*L35/1000000</f>
        <v>0</v>
      </c>
      <c r="M111" s="51">
        <f>Inputs_Summary!O$5*M35/1000000</f>
        <v>0</v>
      </c>
      <c r="N111" s="51">
        <f>Inputs_Summary!P$5*N35/1000000</f>
        <v>5.2284373361094613E-4</v>
      </c>
      <c r="O111" s="51">
        <f>Inputs_Summary!R$5*O35/1000000</f>
        <v>0</v>
      </c>
      <c r="P111" s="97"/>
      <c r="Q111" s="39">
        <f>G111+N111</f>
        <v>5.2284373361094613E-4</v>
      </c>
      <c r="R111" s="5">
        <f>SUM(K111:L111)</f>
        <v>0</v>
      </c>
      <c r="T111" s="5">
        <f t="shared" ref="T111:T113" si="49">SUM(C111:O111)</f>
        <v>140.78097849689598</v>
      </c>
    </row>
    <row r="112" spans="1:58" x14ac:dyDescent="0.3">
      <c r="B112" s="3">
        <v>2040</v>
      </c>
      <c r="C112" s="51">
        <f>Inputs_Summary!E$5*C36/1000000</f>
        <v>42.119153713263337</v>
      </c>
      <c r="D112" s="51">
        <f>Inputs_Summary!F$5*D36/1000000</f>
        <v>0</v>
      </c>
      <c r="E112" s="51">
        <f>Inputs_Summary!G$5*E36/1000000</f>
        <v>0.82961588397048758</v>
      </c>
      <c r="F112" s="51">
        <f>Inputs_Summary!H$5*F36/1000000</f>
        <v>4.3808762345198746E-2</v>
      </c>
      <c r="G112" s="51">
        <f>Inputs_Summary!I$5*G36/1000000</f>
        <v>0</v>
      </c>
      <c r="H112" s="51">
        <f>Inputs_Summary!J$5*H36/1000000</f>
        <v>0</v>
      </c>
      <c r="I112" s="51">
        <f>Inputs_Summary!K$5*I36/1000000</f>
        <v>0</v>
      </c>
      <c r="J112" s="51">
        <f>Inputs_Summary!L$5*J36/1000000</f>
        <v>0</v>
      </c>
      <c r="K112" s="51">
        <f>Inputs_Summary!M$5*K36/1000000</f>
        <v>0</v>
      </c>
      <c r="L112" s="51">
        <f>Inputs_Summary!N$5*L36/1000000</f>
        <v>0</v>
      </c>
      <c r="M112" s="51">
        <f>Inputs_Summary!O$5*M36/1000000</f>
        <v>0</v>
      </c>
      <c r="N112" s="51">
        <f>Inputs_Summary!P$5*N36/1000000</f>
        <v>5.1698035153375024E-4</v>
      </c>
      <c r="O112" s="51">
        <f>Inputs_Summary!R$5*O36/1000000</f>
        <v>0</v>
      </c>
      <c r="P112" s="97"/>
      <c r="Q112" s="39">
        <f>G112+N112</f>
        <v>5.1698035153375024E-4</v>
      </c>
      <c r="R112" s="5">
        <f>SUM(K112:L112)</f>
        <v>0</v>
      </c>
      <c r="T112" s="5">
        <f t="shared" si="49"/>
        <v>42.993095339930562</v>
      </c>
    </row>
    <row r="113" spans="2:20" x14ac:dyDescent="0.3">
      <c r="B113" s="3">
        <v>2050</v>
      </c>
      <c r="C113" s="51">
        <f>Inputs_Summary!E$5*C37/1000000</f>
        <v>0</v>
      </c>
      <c r="D113" s="51">
        <f>Inputs_Summary!F$5*D37/1000000</f>
        <v>0</v>
      </c>
      <c r="E113" s="51">
        <f>Inputs_Summary!G$5*E37/1000000</f>
        <v>0.82763585125265382</v>
      </c>
      <c r="F113" s="51">
        <f>Inputs_Summary!H$5*F37/1000000</f>
        <v>0</v>
      </c>
      <c r="G113" s="51">
        <f>Inputs_Summary!I$5*G37/1000000</f>
        <v>0</v>
      </c>
      <c r="H113" s="51">
        <f>Inputs_Summary!J$5*H37/1000000</f>
        <v>0</v>
      </c>
      <c r="I113" s="51">
        <f>Inputs_Summary!K$5*I37/1000000</f>
        <v>0</v>
      </c>
      <c r="J113" s="51">
        <f>Inputs_Summary!L$5*J37/1000000</f>
        <v>0</v>
      </c>
      <c r="K113" s="51">
        <f>Inputs_Summary!M$5*K37/1000000</f>
        <v>0</v>
      </c>
      <c r="L113" s="51">
        <f>Inputs_Summary!N$5*L37/1000000</f>
        <v>0</v>
      </c>
      <c r="M113" s="51">
        <f>Inputs_Summary!O$5*M37/1000000</f>
        <v>0</v>
      </c>
      <c r="N113" s="51">
        <f>Inputs_Summary!P$5*N37/1000000</f>
        <v>5.1798985860524024E-4</v>
      </c>
      <c r="O113" s="51">
        <f>Inputs_Summary!R$5*O37/1000000</f>
        <v>0</v>
      </c>
      <c r="P113" s="97"/>
      <c r="Q113" s="39">
        <f>G113+N113</f>
        <v>5.1798985860524024E-4</v>
      </c>
      <c r="R113" s="5">
        <f>SUM(K113:L113)</f>
        <v>0</v>
      </c>
      <c r="T113" s="5">
        <f t="shared" si="49"/>
        <v>0.82815384111125911</v>
      </c>
    </row>
    <row r="114" spans="2:20" x14ac:dyDescent="0.3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28"/>
      <c r="Q114" s="5"/>
      <c r="R114" s="5"/>
      <c r="S114" s="5"/>
      <c r="T114" s="5"/>
    </row>
    <row r="115" spans="2:20" ht="28.8" x14ac:dyDescent="0.3">
      <c r="B115" s="43" t="s">
        <v>41</v>
      </c>
      <c r="C115" s="43" t="s">
        <v>0</v>
      </c>
      <c r="D115" s="43" t="s">
        <v>1</v>
      </c>
      <c r="E115" s="43" t="s">
        <v>28</v>
      </c>
      <c r="F115" s="2" t="s">
        <v>29</v>
      </c>
      <c r="G115" s="2" t="s">
        <v>6</v>
      </c>
      <c r="H115" s="43" t="s">
        <v>2</v>
      </c>
      <c r="I115" s="43" t="s">
        <v>3</v>
      </c>
      <c r="J115" s="43" t="s">
        <v>4</v>
      </c>
      <c r="K115" s="43" t="s">
        <v>9</v>
      </c>
      <c r="L115" s="43" t="s">
        <v>8</v>
      </c>
      <c r="M115" s="43" t="s">
        <v>25</v>
      </c>
      <c r="N115" s="43" t="s">
        <v>7</v>
      </c>
      <c r="O115" s="43" t="s">
        <v>89</v>
      </c>
      <c r="P115" s="25"/>
      <c r="Q115" s="43" t="s">
        <v>5</v>
      </c>
      <c r="R115" s="43" t="s">
        <v>91</v>
      </c>
      <c r="T115" s="43" t="s">
        <v>10</v>
      </c>
    </row>
    <row r="116" spans="2:20" x14ac:dyDescent="0.3">
      <c r="B116" s="3">
        <v>2016</v>
      </c>
      <c r="C116" s="51">
        <f>Inputs_Summary!E$8*C40/1000000</f>
        <v>5.0120134326513615</v>
      </c>
      <c r="D116" s="51">
        <f>Inputs_Summary!F$8*D40/1000000</f>
        <v>0</v>
      </c>
      <c r="E116" s="51">
        <f>Inputs_Summary!G$8*E40/1000000</f>
        <v>0</v>
      </c>
      <c r="F116" s="51">
        <f>Inputs_Summary!H$8*F40/1000000</f>
        <v>0</v>
      </c>
      <c r="G116" s="51">
        <f>Inputs_Summary!I$8*G40/1000000</f>
        <v>0</v>
      </c>
      <c r="H116" s="51">
        <f>Inputs_Summary!J$8*H40/1000000</f>
        <v>0</v>
      </c>
      <c r="I116" s="51">
        <f>Inputs_Summary!K$8*I40/1000000</f>
        <v>0</v>
      </c>
      <c r="J116" s="51">
        <f>Inputs_Summary!L$8*J40/1000000</f>
        <v>0</v>
      </c>
      <c r="K116" s="51">
        <f>Inputs_Summary!M$8*K40/1000000</f>
        <v>0</v>
      </c>
      <c r="L116" s="51">
        <f>Inputs_Summary!N$8*L40/1000000</f>
        <v>0</v>
      </c>
      <c r="M116" s="51">
        <f>Inputs_Summary!O$8*M40/1000000</f>
        <v>0</v>
      </c>
      <c r="N116" s="51">
        <f>Inputs_Summary!P$8*N40/1000000</f>
        <v>0</v>
      </c>
      <c r="O116" s="51">
        <f>Inputs_Summary!R$8*O40/1000000</f>
        <v>0</v>
      </c>
      <c r="P116" s="97"/>
      <c r="Q116" s="39">
        <f>G116+N116</f>
        <v>0</v>
      </c>
      <c r="R116" s="5">
        <f>SUM(K116:L116)</f>
        <v>0</v>
      </c>
      <c r="T116" s="5">
        <f>SUM(C116:O116)</f>
        <v>5.0120134326513615</v>
      </c>
    </row>
    <row r="117" spans="2:20" x14ac:dyDescent="0.3">
      <c r="B117" s="3">
        <v>2030</v>
      </c>
      <c r="C117" s="51">
        <f>Inputs_Summary!E$8*C41/1000000</f>
        <v>65.870747197739462</v>
      </c>
      <c r="D117" s="51">
        <f>Inputs_Summary!F$8*D41/1000000</f>
        <v>0</v>
      </c>
      <c r="E117" s="51">
        <f>Inputs_Summary!G$8*E41/1000000</f>
        <v>0</v>
      </c>
      <c r="F117" s="51">
        <f>Inputs_Summary!H$8*F41/1000000</f>
        <v>0</v>
      </c>
      <c r="G117" s="51">
        <f>Inputs_Summary!I$8*G41/1000000</f>
        <v>0</v>
      </c>
      <c r="H117" s="51">
        <f>Inputs_Summary!J$8*H41/1000000</f>
        <v>0</v>
      </c>
      <c r="I117" s="51">
        <f>Inputs_Summary!K$8*I41/1000000</f>
        <v>0</v>
      </c>
      <c r="J117" s="51">
        <f>Inputs_Summary!L$8*J41/1000000</f>
        <v>0</v>
      </c>
      <c r="K117" s="51">
        <f>Inputs_Summary!M$8*K41/1000000</f>
        <v>0</v>
      </c>
      <c r="L117" s="51">
        <f>Inputs_Summary!N$8*L41/1000000</f>
        <v>0</v>
      </c>
      <c r="M117" s="51">
        <f>Inputs_Summary!O$8*M41/1000000</f>
        <v>0</v>
      </c>
      <c r="N117" s="51">
        <f>Inputs_Summary!P$8*N41/1000000</f>
        <v>6.2280215322443172E-4</v>
      </c>
      <c r="O117" s="51">
        <f>Inputs_Summary!R$8*O41/1000000</f>
        <v>0</v>
      </c>
      <c r="P117" s="97"/>
      <c r="Q117" s="39">
        <f>G117+N117</f>
        <v>6.2280215322443172E-4</v>
      </c>
      <c r="R117" s="5">
        <f>SUM(K117:L117)</f>
        <v>0</v>
      </c>
      <c r="T117" s="5">
        <f t="shared" ref="T117:T119" si="50">SUM(C117:O117)</f>
        <v>65.871369999892693</v>
      </c>
    </row>
    <row r="118" spans="2:20" x14ac:dyDescent="0.3">
      <c r="B118" s="3">
        <v>2040</v>
      </c>
      <c r="C118" s="51">
        <f>Inputs_Summary!E$8*C42/1000000</f>
        <v>65.406342365469598</v>
      </c>
      <c r="D118" s="51">
        <f>Inputs_Summary!F$8*D42/1000000</f>
        <v>0</v>
      </c>
      <c r="E118" s="51">
        <f>Inputs_Summary!G$8*E42/1000000</f>
        <v>0</v>
      </c>
      <c r="F118" s="51">
        <f>Inputs_Summary!H$8*F42/1000000</f>
        <v>0</v>
      </c>
      <c r="G118" s="51">
        <f>Inputs_Summary!I$8*G42/1000000</f>
        <v>0</v>
      </c>
      <c r="H118" s="51">
        <f>Inputs_Summary!J$8*H42/1000000</f>
        <v>0</v>
      </c>
      <c r="I118" s="51">
        <f>Inputs_Summary!K$8*I42/1000000</f>
        <v>0</v>
      </c>
      <c r="J118" s="51">
        <f>Inputs_Summary!L$8*J42/1000000</f>
        <v>0</v>
      </c>
      <c r="K118" s="51">
        <f>Inputs_Summary!M$8*K42/1000000</f>
        <v>0</v>
      </c>
      <c r="L118" s="51">
        <f>Inputs_Summary!N$8*L42/1000000</f>
        <v>0</v>
      </c>
      <c r="M118" s="51">
        <f>Inputs_Summary!O$8*M42/1000000</f>
        <v>0</v>
      </c>
      <c r="N118" s="51">
        <f>Inputs_Summary!P$8*N42/1000000</f>
        <v>6.0274204932120594E-4</v>
      </c>
      <c r="O118" s="51">
        <f>Inputs_Summary!R$8*O42/1000000</f>
        <v>0</v>
      </c>
      <c r="P118" s="97"/>
      <c r="Q118" s="39">
        <f>G118+N118</f>
        <v>6.0274204932120594E-4</v>
      </c>
      <c r="R118" s="5">
        <f>SUM(K118:L118)</f>
        <v>0</v>
      </c>
      <c r="T118" s="5">
        <f t="shared" si="50"/>
        <v>65.406945107518922</v>
      </c>
    </row>
    <row r="119" spans="2:20" x14ac:dyDescent="0.3">
      <c r="B119" s="3">
        <v>2050</v>
      </c>
      <c r="C119" s="51">
        <f>Inputs_Summary!E$8*C43/1000000</f>
        <v>63.122221360444442</v>
      </c>
      <c r="D119" s="51">
        <f>Inputs_Summary!F$8*D43/1000000</f>
        <v>0</v>
      </c>
      <c r="E119" s="51">
        <f>Inputs_Summary!G$8*E43/1000000</f>
        <v>0</v>
      </c>
      <c r="F119" s="51">
        <f>Inputs_Summary!H$8*F43/1000000</f>
        <v>0</v>
      </c>
      <c r="G119" s="51">
        <f>Inputs_Summary!I$8*G43/1000000</f>
        <v>0</v>
      </c>
      <c r="H119" s="51">
        <f>Inputs_Summary!J$8*H43/1000000</f>
        <v>0</v>
      </c>
      <c r="I119" s="51">
        <f>Inputs_Summary!K$8*I43/1000000</f>
        <v>0</v>
      </c>
      <c r="J119" s="51">
        <f>Inputs_Summary!L$8*J43/1000000</f>
        <v>0</v>
      </c>
      <c r="K119" s="51">
        <f>Inputs_Summary!M$8*K43/1000000</f>
        <v>0</v>
      </c>
      <c r="L119" s="51">
        <f>Inputs_Summary!N$8*L43/1000000</f>
        <v>0</v>
      </c>
      <c r="M119" s="51">
        <f>Inputs_Summary!O$8*M43/1000000</f>
        <v>0</v>
      </c>
      <c r="N119" s="51">
        <f>Inputs_Summary!P$8*N43/1000000</f>
        <v>6.1100414755714376E-4</v>
      </c>
      <c r="O119" s="51">
        <f>Inputs_Summary!R$8*O43/1000000</f>
        <v>0</v>
      </c>
      <c r="P119" s="97"/>
      <c r="Q119" s="39">
        <f>G119+N119</f>
        <v>6.1100414755714376E-4</v>
      </c>
      <c r="R119" s="5">
        <f>SUM(K119:L119)</f>
        <v>0</v>
      </c>
      <c r="T119" s="5">
        <f t="shared" si="50"/>
        <v>63.122832364592</v>
      </c>
    </row>
    <row r="120" spans="2:20" x14ac:dyDescent="0.3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28"/>
      <c r="Q120" s="5"/>
      <c r="R120" s="5"/>
      <c r="S120" s="5"/>
      <c r="T120" s="5"/>
    </row>
    <row r="121" spans="2:20" ht="28.8" x14ac:dyDescent="0.3">
      <c r="B121" s="43" t="s">
        <v>42</v>
      </c>
      <c r="C121" s="43" t="s">
        <v>0</v>
      </c>
      <c r="D121" s="43" t="s">
        <v>1</v>
      </c>
      <c r="E121" s="43" t="s">
        <v>28</v>
      </c>
      <c r="F121" s="2" t="s">
        <v>29</v>
      </c>
      <c r="G121" s="2" t="s">
        <v>6</v>
      </c>
      <c r="H121" s="43" t="s">
        <v>2</v>
      </c>
      <c r="I121" s="43" t="s">
        <v>3</v>
      </c>
      <c r="J121" s="43" t="s">
        <v>4</v>
      </c>
      <c r="K121" s="43" t="s">
        <v>9</v>
      </c>
      <c r="L121" s="43" t="s">
        <v>8</v>
      </c>
      <c r="M121" s="43" t="s">
        <v>25</v>
      </c>
      <c r="N121" s="43" t="s">
        <v>7</v>
      </c>
      <c r="O121" s="43" t="s">
        <v>89</v>
      </c>
      <c r="P121" s="25"/>
      <c r="Q121" s="43" t="s">
        <v>5</v>
      </c>
      <c r="R121" s="43" t="s">
        <v>91</v>
      </c>
      <c r="T121" s="43" t="s">
        <v>10</v>
      </c>
    </row>
    <row r="122" spans="2:20" x14ac:dyDescent="0.3">
      <c r="B122" s="3">
        <v>2016</v>
      </c>
      <c r="C122" s="51">
        <f>Inputs_Summary!E$11*C46/1000000</f>
        <v>0</v>
      </c>
      <c r="D122" s="51">
        <f>Inputs_Summary!F$11*D46/1000000</f>
        <v>0</v>
      </c>
      <c r="E122" s="51">
        <f>Inputs_Summary!G$11*E46/1000000</f>
        <v>0</v>
      </c>
      <c r="F122" s="51">
        <f>Inputs_Summary!H$11*F46/1000000</f>
        <v>0</v>
      </c>
      <c r="G122" s="51">
        <f>Inputs_Summary!I$11*G46/1000000</f>
        <v>0</v>
      </c>
      <c r="H122" s="51">
        <f>Inputs_Summary!J$11*H46/1000000</f>
        <v>0</v>
      </c>
      <c r="I122" s="51">
        <f>Inputs_Summary!K$11*I46/1000000</f>
        <v>0</v>
      </c>
      <c r="J122" s="51">
        <f>Inputs_Summary!L$11*J46/1000000</f>
        <v>0</v>
      </c>
      <c r="K122" s="51">
        <f>Inputs_Summary!M$11*K46/1000000</f>
        <v>0</v>
      </c>
      <c r="L122" s="51">
        <f>Inputs_Summary!N$11*L46/1000000</f>
        <v>0</v>
      </c>
      <c r="M122" s="51">
        <f>Inputs_Summary!O$11*M46/1000000</f>
        <v>0</v>
      </c>
      <c r="N122" s="51">
        <f>Inputs_Summary!P$11*N46/1000000</f>
        <v>0</v>
      </c>
      <c r="O122" s="51">
        <f>Inputs_Summary!R$11*O46/1000000</f>
        <v>0</v>
      </c>
      <c r="P122" s="97"/>
      <c r="Q122" s="39">
        <f>G122+N122</f>
        <v>0</v>
      </c>
      <c r="R122" s="5">
        <f>SUM(K122:L122)</f>
        <v>0</v>
      </c>
      <c r="T122" s="5">
        <f>SUM(C122:O122)</f>
        <v>0</v>
      </c>
    </row>
    <row r="123" spans="2:20" x14ac:dyDescent="0.3">
      <c r="B123" s="3">
        <v>2030</v>
      </c>
      <c r="C123" s="51">
        <f>Inputs_Summary!E$11*C47/1000000</f>
        <v>0</v>
      </c>
      <c r="D123" s="51">
        <f>Inputs_Summary!F$11*D47/1000000</f>
        <v>0</v>
      </c>
      <c r="E123" s="51">
        <f>Inputs_Summary!G$11*E47/1000000</f>
        <v>3.7205064371592349</v>
      </c>
      <c r="F123" s="51">
        <f>Inputs_Summary!H$11*F47/1000000</f>
        <v>1.6814719751895939</v>
      </c>
      <c r="G123" s="51">
        <f>Inputs_Summary!I$11*G47/1000000</f>
        <v>0</v>
      </c>
      <c r="H123" s="51">
        <f>Inputs_Summary!J$11*H47/1000000</f>
        <v>0</v>
      </c>
      <c r="I123" s="51">
        <f>Inputs_Summary!K$11*I47/1000000</f>
        <v>0</v>
      </c>
      <c r="J123" s="51">
        <f>Inputs_Summary!L$11*J47/1000000</f>
        <v>0</v>
      </c>
      <c r="K123" s="51">
        <f>Inputs_Summary!M$11*K47/1000000</f>
        <v>0</v>
      </c>
      <c r="L123" s="51">
        <f>Inputs_Summary!N$11*L47/1000000</f>
        <v>0</v>
      </c>
      <c r="M123" s="51">
        <f>Inputs_Summary!O$11*M47/1000000</f>
        <v>0</v>
      </c>
      <c r="N123" s="51">
        <f>Inputs_Summary!P$11*N47/1000000</f>
        <v>0</v>
      </c>
      <c r="O123" s="51">
        <f>Inputs_Summary!R$11*O47/1000000</f>
        <v>0</v>
      </c>
      <c r="P123" s="97"/>
      <c r="Q123" s="39">
        <f>G123+N123</f>
        <v>0</v>
      </c>
      <c r="R123" s="5">
        <f>SUM(K123:L123)</f>
        <v>0</v>
      </c>
      <c r="T123" s="5">
        <f t="shared" ref="T123:T125" si="51">SUM(C123:O123)</f>
        <v>5.4019784123488286</v>
      </c>
    </row>
    <row r="124" spans="2:20" x14ac:dyDescent="0.3">
      <c r="B124" s="3">
        <v>2040</v>
      </c>
      <c r="C124" s="51">
        <f>Inputs_Summary!E$11*C48/1000000</f>
        <v>0</v>
      </c>
      <c r="D124" s="51">
        <f>Inputs_Summary!F$11*D48/1000000</f>
        <v>0</v>
      </c>
      <c r="E124" s="51">
        <f>Inputs_Summary!G$11*E48/1000000</f>
        <v>10.17799744634784</v>
      </c>
      <c r="F124" s="51">
        <f>Inputs_Summary!H$11*F48/1000000</f>
        <v>3.0228046018187134</v>
      </c>
      <c r="G124" s="51">
        <f>Inputs_Summary!I$11*G48/1000000</f>
        <v>0</v>
      </c>
      <c r="H124" s="51">
        <f>Inputs_Summary!J$11*H48/1000000</f>
        <v>0</v>
      </c>
      <c r="I124" s="51">
        <f>Inputs_Summary!K$11*I48/1000000</f>
        <v>0</v>
      </c>
      <c r="J124" s="51">
        <f>Inputs_Summary!L$11*J48/1000000</f>
        <v>0</v>
      </c>
      <c r="K124" s="51">
        <f>Inputs_Summary!M$11*K48/1000000</f>
        <v>0</v>
      </c>
      <c r="L124" s="51">
        <f>Inputs_Summary!N$11*L48/1000000</f>
        <v>0</v>
      </c>
      <c r="M124" s="51">
        <f>Inputs_Summary!O$11*M48/1000000</f>
        <v>0</v>
      </c>
      <c r="N124" s="51">
        <f>Inputs_Summary!P$11*N48/1000000</f>
        <v>0</v>
      </c>
      <c r="O124" s="51">
        <f>Inputs_Summary!R$11*O48/1000000</f>
        <v>0</v>
      </c>
      <c r="P124" s="97"/>
      <c r="Q124" s="39">
        <f>G124+N124</f>
        <v>0</v>
      </c>
      <c r="R124" s="5">
        <f>SUM(K124:L124)</f>
        <v>0</v>
      </c>
      <c r="T124" s="5">
        <f t="shared" si="51"/>
        <v>13.200802048166553</v>
      </c>
    </row>
    <row r="125" spans="2:20" x14ac:dyDescent="0.3">
      <c r="B125" s="3">
        <v>2050</v>
      </c>
      <c r="C125" s="51">
        <f>Inputs_Summary!E$11*C49/1000000</f>
        <v>23.056441403012741</v>
      </c>
      <c r="D125" s="51">
        <f>Inputs_Summary!F$11*D49/1000000</f>
        <v>0</v>
      </c>
      <c r="E125" s="51">
        <f>Inputs_Summary!G$11*E49/1000000</f>
        <v>12.938532849704735</v>
      </c>
      <c r="F125" s="51">
        <f>Inputs_Summary!H$11*F49/1000000</f>
        <v>3.9657120395692336</v>
      </c>
      <c r="G125" s="51">
        <f>Inputs_Summary!I$11*G49/1000000</f>
        <v>0</v>
      </c>
      <c r="H125" s="51">
        <f>Inputs_Summary!J$11*H49/1000000</f>
        <v>0</v>
      </c>
      <c r="I125" s="51">
        <f>Inputs_Summary!K$11*I49/1000000</f>
        <v>0</v>
      </c>
      <c r="J125" s="51">
        <f>Inputs_Summary!L$11*J49/1000000</f>
        <v>0</v>
      </c>
      <c r="K125" s="51">
        <f>Inputs_Summary!M$11*K49/1000000</f>
        <v>0</v>
      </c>
      <c r="L125" s="51">
        <f>Inputs_Summary!N$11*L49/1000000</f>
        <v>0</v>
      </c>
      <c r="M125" s="51">
        <f>Inputs_Summary!O$11*M49/1000000</f>
        <v>0</v>
      </c>
      <c r="N125" s="51">
        <f>Inputs_Summary!P$11*N49/1000000</f>
        <v>0</v>
      </c>
      <c r="O125" s="51">
        <f>Inputs_Summary!R$11*O49/1000000</f>
        <v>0</v>
      </c>
      <c r="P125" s="97"/>
      <c r="Q125" s="39">
        <f>G125+N125</f>
        <v>0</v>
      </c>
      <c r="R125" s="5">
        <f>SUM(K125:L125)</f>
        <v>0</v>
      </c>
      <c r="T125" s="5">
        <f t="shared" si="51"/>
        <v>39.960686292286709</v>
      </c>
    </row>
    <row r="126" spans="2:20" x14ac:dyDescent="0.3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28"/>
    </row>
    <row r="127" spans="2:20" ht="28.8" x14ac:dyDescent="0.3">
      <c r="B127" s="43" t="s">
        <v>24</v>
      </c>
      <c r="C127" s="43" t="s">
        <v>0</v>
      </c>
      <c r="D127" s="43" t="s">
        <v>1</v>
      </c>
      <c r="E127" s="43" t="s">
        <v>28</v>
      </c>
      <c r="F127" s="2" t="s">
        <v>29</v>
      </c>
      <c r="G127" s="2" t="s">
        <v>6</v>
      </c>
      <c r="H127" s="43" t="s">
        <v>2</v>
      </c>
      <c r="I127" s="43" t="s">
        <v>3</v>
      </c>
      <c r="J127" s="43" t="s">
        <v>4</v>
      </c>
      <c r="K127" s="43" t="s">
        <v>9</v>
      </c>
      <c r="L127" s="43" t="s">
        <v>8</v>
      </c>
      <c r="M127" s="43" t="s">
        <v>25</v>
      </c>
      <c r="N127" s="43" t="s">
        <v>7</v>
      </c>
      <c r="O127" s="43" t="s">
        <v>89</v>
      </c>
      <c r="P127" s="25"/>
      <c r="Q127" s="43" t="s">
        <v>5</v>
      </c>
      <c r="R127" s="43" t="s">
        <v>91</v>
      </c>
      <c r="T127" s="43" t="s">
        <v>10</v>
      </c>
    </row>
    <row r="128" spans="2:20" x14ac:dyDescent="0.3">
      <c r="B128" s="3">
        <v>2016</v>
      </c>
      <c r="C128" s="51">
        <f t="shared" ref="C128:O131" si="52">C110+C116+C122</f>
        <v>215.13357259497792</v>
      </c>
      <c r="D128" s="51">
        <f t="shared" si="52"/>
        <v>0</v>
      </c>
      <c r="E128" s="51">
        <f t="shared" si="52"/>
        <v>0.27748016944768411</v>
      </c>
      <c r="F128" s="51">
        <f t="shared" si="52"/>
        <v>1.1619560473070238</v>
      </c>
      <c r="G128" s="51">
        <f t="shared" si="52"/>
        <v>0</v>
      </c>
      <c r="H128" s="51">
        <f t="shared" si="52"/>
        <v>0</v>
      </c>
      <c r="I128" s="51">
        <f t="shared" si="52"/>
        <v>0</v>
      </c>
      <c r="J128" s="51">
        <f t="shared" si="52"/>
        <v>0</v>
      </c>
      <c r="K128" s="51">
        <f t="shared" si="52"/>
        <v>0</v>
      </c>
      <c r="L128" s="51">
        <f t="shared" si="52"/>
        <v>0</v>
      </c>
      <c r="M128" s="51">
        <f t="shared" si="52"/>
        <v>0</v>
      </c>
      <c r="N128" s="51">
        <f t="shared" si="52"/>
        <v>5.9887859519957903E-4</v>
      </c>
      <c r="O128" s="51">
        <f t="shared" si="52"/>
        <v>0</v>
      </c>
      <c r="P128" s="97"/>
      <c r="Q128" s="39">
        <f>G128+N128</f>
        <v>5.9887859519957903E-4</v>
      </c>
      <c r="R128" s="5">
        <f>SUM(K128:L128)</f>
        <v>0</v>
      </c>
      <c r="T128" s="5">
        <f>SUM(C128:O128)</f>
        <v>216.57360769032783</v>
      </c>
    </row>
    <row r="129" spans="2:20" x14ac:dyDescent="0.3">
      <c r="B129" s="3">
        <v>2030</v>
      </c>
      <c r="C129" s="51">
        <f t="shared" ref="C129:N129" si="53">C111+C117+C123</f>
        <v>205.7009185553139</v>
      </c>
      <c r="D129" s="51">
        <f t="shared" si="53"/>
        <v>0</v>
      </c>
      <c r="E129" s="51">
        <f t="shared" si="53"/>
        <v>4.5373034032404753</v>
      </c>
      <c r="F129" s="51">
        <f t="shared" si="53"/>
        <v>1.8149593046962886</v>
      </c>
      <c r="G129" s="51">
        <f t="shared" si="53"/>
        <v>0</v>
      </c>
      <c r="H129" s="51">
        <f t="shared" si="53"/>
        <v>0</v>
      </c>
      <c r="I129" s="51">
        <f t="shared" si="53"/>
        <v>0</v>
      </c>
      <c r="J129" s="51">
        <f t="shared" si="53"/>
        <v>0</v>
      </c>
      <c r="K129" s="51">
        <f t="shared" si="53"/>
        <v>0</v>
      </c>
      <c r="L129" s="51">
        <f t="shared" si="53"/>
        <v>0</v>
      </c>
      <c r="M129" s="51">
        <f t="shared" si="53"/>
        <v>0</v>
      </c>
      <c r="N129" s="51">
        <f t="shared" si="53"/>
        <v>1.145645886835378E-3</v>
      </c>
      <c r="O129" s="51">
        <f t="shared" si="52"/>
        <v>0</v>
      </c>
      <c r="P129" s="97"/>
      <c r="Q129" s="39">
        <f>G129+N129</f>
        <v>1.145645886835378E-3</v>
      </c>
      <c r="R129" s="5">
        <f>SUM(K129:L129)</f>
        <v>0</v>
      </c>
      <c r="T129" s="5">
        <f t="shared" ref="T129:T131" si="54">SUM(C129:O129)</f>
        <v>212.0543269091375</v>
      </c>
    </row>
    <row r="130" spans="2:20" x14ac:dyDescent="0.3">
      <c r="B130" s="3">
        <v>2040</v>
      </c>
      <c r="C130" s="51">
        <f t="shared" ref="C130:N130" si="55">C112+C118+C124</f>
        <v>107.52549607873294</v>
      </c>
      <c r="D130" s="51">
        <f t="shared" si="55"/>
        <v>0</v>
      </c>
      <c r="E130" s="51">
        <f t="shared" si="55"/>
        <v>11.007613330318328</v>
      </c>
      <c r="F130" s="51">
        <f t="shared" si="55"/>
        <v>3.0666133641639122</v>
      </c>
      <c r="G130" s="51">
        <f t="shared" si="55"/>
        <v>0</v>
      </c>
      <c r="H130" s="51">
        <f t="shared" si="55"/>
        <v>0</v>
      </c>
      <c r="I130" s="51">
        <f t="shared" si="55"/>
        <v>0</v>
      </c>
      <c r="J130" s="51">
        <f t="shared" si="55"/>
        <v>0</v>
      </c>
      <c r="K130" s="51">
        <f t="shared" si="55"/>
        <v>0</v>
      </c>
      <c r="L130" s="51">
        <f t="shared" si="55"/>
        <v>0</v>
      </c>
      <c r="M130" s="51">
        <f t="shared" si="55"/>
        <v>0</v>
      </c>
      <c r="N130" s="51">
        <f t="shared" si="55"/>
        <v>1.1197224008549561E-3</v>
      </c>
      <c r="O130" s="51">
        <f t="shared" si="52"/>
        <v>0</v>
      </c>
      <c r="P130" s="97"/>
      <c r="Q130" s="39">
        <f>G130+N130</f>
        <v>1.1197224008549561E-3</v>
      </c>
      <c r="R130" s="5">
        <f>SUM(K130:L130)</f>
        <v>0</v>
      </c>
      <c r="T130" s="5">
        <f t="shared" si="54"/>
        <v>121.60084249561604</v>
      </c>
    </row>
    <row r="131" spans="2:20" x14ac:dyDescent="0.3">
      <c r="B131" s="3">
        <v>2050</v>
      </c>
      <c r="C131" s="51">
        <f t="shared" ref="C131:N131" si="56">C113+C119+C125</f>
        <v>86.178662763457183</v>
      </c>
      <c r="D131" s="51">
        <f t="shared" si="56"/>
        <v>0</v>
      </c>
      <c r="E131" s="51">
        <f t="shared" si="56"/>
        <v>13.766168700957389</v>
      </c>
      <c r="F131" s="51">
        <f t="shared" si="56"/>
        <v>3.9657120395692336</v>
      </c>
      <c r="G131" s="51">
        <f t="shared" si="56"/>
        <v>0</v>
      </c>
      <c r="H131" s="51">
        <f t="shared" si="56"/>
        <v>0</v>
      </c>
      <c r="I131" s="51">
        <f t="shared" si="56"/>
        <v>0</v>
      </c>
      <c r="J131" s="51">
        <f t="shared" si="56"/>
        <v>0</v>
      </c>
      <c r="K131" s="51">
        <f t="shared" si="56"/>
        <v>0</v>
      </c>
      <c r="L131" s="51">
        <f t="shared" si="56"/>
        <v>0</v>
      </c>
      <c r="M131" s="51">
        <f t="shared" si="56"/>
        <v>0</v>
      </c>
      <c r="N131" s="51">
        <f t="shared" si="56"/>
        <v>1.1289940061623839E-3</v>
      </c>
      <c r="O131" s="51">
        <f t="shared" si="52"/>
        <v>0</v>
      </c>
      <c r="P131" s="97"/>
      <c r="Q131" s="39">
        <f>G131+N131</f>
        <v>1.1289940061623839E-3</v>
      </c>
      <c r="R131" s="5">
        <f>SUM(K131:L131)</f>
        <v>0</v>
      </c>
      <c r="T131" s="5">
        <f t="shared" si="54"/>
        <v>103.91167249798998</v>
      </c>
    </row>
    <row r="132" spans="2:20" x14ac:dyDescent="0.3"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28"/>
    </row>
    <row r="133" spans="2:20" x14ac:dyDescent="0.3">
      <c r="B133" s="3">
        <v>2016</v>
      </c>
      <c r="C133" s="23">
        <f t="shared" ref="C133:O136" si="57">IFERROR(C128/$T128,0)</f>
        <v>0.99335082833634569</v>
      </c>
      <c r="D133" s="23">
        <f t="shared" si="57"/>
        <v>0</v>
      </c>
      <c r="E133" s="23">
        <f t="shared" si="57"/>
        <v>1.2812279963699213E-3</v>
      </c>
      <c r="F133" s="23">
        <f t="shared" si="57"/>
        <v>5.365178424549635E-3</v>
      </c>
      <c r="G133" s="23">
        <f t="shared" si="57"/>
        <v>0</v>
      </c>
      <c r="H133" s="23">
        <f t="shared" si="57"/>
        <v>0</v>
      </c>
      <c r="I133" s="23">
        <f t="shared" si="57"/>
        <v>0</v>
      </c>
      <c r="J133" s="23">
        <f t="shared" si="57"/>
        <v>0</v>
      </c>
      <c r="K133" s="23">
        <f t="shared" si="57"/>
        <v>0</v>
      </c>
      <c r="L133" s="23">
        <f t="shared" si="57"/>
        <v>0</v>
      </c>
      <c r="M133" s="23">
        <f t="shared" si="57"/>
        <v>0</v>
      </c>
      <c r="N133" s="23">
        <f t="shared" si="57"/>
        <v>2.7652427347283133E-6</v>
      </c>
      <c r="O133" s="23">
        <f t="shared" si="57"/>
        <v>0</v>
      </c>
      <c r="P133" s="26"/>
      <c r="Q133" s="7">
        <f t="shared" ref="Q133:R136" si="58">Q128/$T128</f>
        <v>2.7652427347283133E-6</v>
      </c>
      <c r="R133" s="7">
        <f t="shared" si="58"/>
        <v>0</v>
      </c>
      <c r="T133" s="8">
        <f>SUM(C133:O133)</f>
        <v>0.99999999999999989</v>
      </c>
    </row>
    <row r="134" spans="2:20" x14ac:dyDescent="0.3">
      <c r="B134" s="3">
        <v>2030</v>
      </c>
      <c r="C134" s="23">
        <f t="shared" si="57"/>
        <v>0.97003877050551324</v>
      </c>
      <c r="D134" s="23">
        <f t="shared" si="57"/>
        <v>0</v>
      </c>
      <c r="E134" s="23">
        <f t="shared" si="57"/>
        <v>2.1396891397479714E-2</v>
      </c>
      <c r="F134" s="23">
        <f t="shared" si="57"/>
        <v>8.5589354914411865E-3</v>
      </c>
      <c r="G134" s="23">
        <f t="shared" si="57"/>
        <v>0</v>
      </c>
      <c r="H134" s="23">
        <f t="shared" si="57"/>
        <v>0</v>
      </c>
      <c r="I134" s="23">
        <f t="shared" si="57"/>
        <v>0</v>
      </c>
      <c r="J134" s="23">
        <f t="shared" si="57"/>
        <v>0</v>
      </c>
      <c r="K134" s="23">
        <f t="shared" si="57"/>
        <v>0</v>
      </c>
      <c r="L134" s="23">
        <f t="shared" si="57"/>
        <v>0</v>
      </c>
      <c r="M134" s="23">
        <f t="shared" si="57"/>
        <v>0</v>
      </c>
      <c r="N134" s="23">
        <f t="shared" si="57"/>
        <v>5.4026055659136457E-6</v>
      </c>
      <c r="O134" s="23">
        <f t="shared" si="57"/>
        <v>0</v>
      </c>
      <c r="P134" s="26"/>
      <c r="Q134" s="7">
        <f t="shared" si="58"/>
        <v>5.4026055659136457E-6</v>
      </c>
      <c r="R134" s="7">
        <f t="shared" si="58"/>
        <v>0</v>
      </c>
      <c r="T134" s="8">
        <f t="shared" ref="T134:T136" si="59">SUM(C134:O134)</f>
        <v>1</v>
      </c>
    </row>
    <row r="135" spans="2:20" x14ac:dyDescent="0.3">
      <c r="B135" s="3">
        <v>2040</v>
      </c>
      <c r="C135" s="23">
        <f t="shared" si="57"/>
        <v>0.8842495978809477</v>
      </c>
      <c r="D135" s="23">
        <f t="shared" si="57"/>
        <v>0</v>
      </c>
      <c r="E135" s="23">
        <f t="shared" si="57"/>
        <v>9.0522508762348214E-2</v>
      </c>
      <c r="F135" s="23">
        <f t="shared" si="57"/>
        <v>2.5218685177074082E-2</v>
      </c>
      <c r="G135" s="23">
        <f t="shared" si="57"/>
        <v>0</v>
      </c>
      <c r="H135" s="23">
        <f t="shared" si="57"/>
        <v>0</v>
      </c>
      <c r="I135" s="23">
        <f t="shared" si="57"/>
        <v>0</v>
      </c>
      <c r="J135" s="23">
        <f t="shared" si="57"/>
        <v>0</v>
      </c>
      <c r="K135" s="23">
        <f t="shared" si="57"/>
        <v>0</v>
      </c>
      <c r="L135" s="23">
        <f t="shared" si="57"/>
        <v>0</v>
      </c>
      <c r="M135" s="23">
        <f t="shared" si="57"/>
        <v>0</v>
      </c>
      <c r="N135" s="23">
        <f t="shared" si="57"/>
        <v>9.2081796299669922E-6</v>
      </c>
      <c r="O135" s="23">
        <f t="shared" si="57"/>
        <v>0</v>
      </c>
      <c r="P135" s="26"/>
      <c r="Q135" s="7">
        <f t="shared" si="58"/>
        <v>9.2081796299669922E-6</v>
      </c>
      <c r="R135" s="7">
        <f t="shared" si="58"/>
        <v>0</v>
      </c>
      <c r="T135" s="8">
        <f t="shared" si="59"/>
        <v>1</v>
      </c>
    </row>
    <row r="136" spans="2:20" x14ac:dyDescent="0.3">
      <c r="B136" s="3">
        <v>2050</v>
      </c>
      <c r="C136" s="23">
        <f t="shared" si="57"/>
        <v>0.82934535352728711</v>
      </c>
      <c r="D136" s="23">
        <f t="shared" si="57"/>
        <v>0</v>
      </c>
      <c r="E136" s="23">
        <f t="shared" si="57"/>
        <v>0.13247952198270771</v>
      </c>
      <c r="F136" s="23">
        <f t="shared" si="57"/>
        <v>3.8164259550782849E-2</v>
      </c>
      <c r="G136" s="23">
        <f t="shared" si="57"/>
        <v>0</v>
      </c>
      <c r="H136" s="23">
        <f t="shared" si="57"/>
        <v>0</v>
      </c>
      <c r="I136" s="23">
        <f t="shared" si="57"/>
        <v>0</v>
      </c>
      <c r="J136" s="23">
        <f t="shared" si="57"/>
        <v>0</v>
      </c>
      <c r="K136" s="23">
        <f t="shared" si="57"/>
        <v>0</v>
      </c>
      <c r="L136" s="23">
        <f t="shared" si="57"/>
        <v>0</v>
      </c>
      <c r="M136" s="23">
        <f t="shared" si="57"/>
        <v>0</v>
      </c>
      <c r="N136" s="23">
        <f t="shared" si="57"/>
        <v>1.0864939222147758E-5</v>
      </c>
      <c r="O136" s="23">
        <f t="shared" si="57"/>
        <v>0</v>
      </c>
      <c r="P136" s="26"/>
      <c r="Q136" s="7">
        <f t="shared" si="58"/>
        <v>1.0864939222147758E-5</v>
      </c>
      <c r="R136" s="7">
        <f t="shared" si="58"/>
        <v>0</v>
      </c>
      <c r="T136" s="8">
        <f t="shared" si="59"/>
        <v>0.99999999999999989</v>
      </c>
    </row>
    <row r="137" spans="2:20" s="11" customFormat="1" x14ac:dyDescent="0.3">
      <c r="C137" s="12"/>
      <c r="D137" s="12"/>
      <c r="E137" s="14"/>
      <c r="F137" s="14"/>
      <c r="G137" s="14"/>
      <c r="H137" s="16"/>
      <c r="I137" s="14"/>
      <c r="J137" s="14"/>
      <c r="K137" s="16"/>
      <c r="L137" s="14"/>
      <c r="M137" s="16"/>
      <c r="N137" s="20"/>
      <c r="O137" s="20"/>
      <c r="P137" s="20"/>
    </row>
    <row r="138" spans="2:20" s="9" customFormat="1" ht="21" x14ac:dyDescent="0.4">
      <c r="B138" s="10" t="s">
        <v>44</v>
      </c>
    </row>
    <row r="139" spans="2:20" s="32" customFormat="1" ht="21" x14ac:dyDescent="0.4">
      <c r="B139" s="31"/>
      <c r="P139" s="58"/>
    </row>
    <row r="140" spans="2:20" ht="28.8" x14ac:dyDescent="0.3">
      <c r="B140" s="43" t="s">
        <v>76</v>
      </c>
      <c r="C140" s="43" t="s">
        <v>0</v>
      </c>
      <c r="D140" s="43" t="s">
        <v>1</v>
      </c>
      <c r="E140" s="43" t="s">
        <v>28</v>
      </c>
      <c r="F140" s="2" t="s">
        <v>29</v>
      </c>
      <c r="G140" s="2" t="s">
        <v>6</v>
      </c>
      <c r="H140" s="43" t="s">
        <v>2</v>
      </c>
      <c r="I140" s="43" t="s">
        <v>3</v>
      </c>
      <c r="J140" s="43" t="s">
        <v>4</v>
      </c>
      <c r="K140" s="43" t="s">
        <v>9</v>
      </c>
      <c r="L140" s="43" t="s">
        <v>8</v>
      </c>
      <c r="M140" s="43" t="s">
        <v>25</v>
      </c>
      <c r="N140" s="43" t="s">
        <v>7</v>
      </c>
      <c r="O140" s="43" t="s">
        <v>89</v>
      </c>
      <c r="P140" s="25"/>
      <c r="Q140" s="43" t="s">
        <v>5</v>
      </c>
      <c r="R140" s="43" t="s">
        <v>91</v>
      </c>
      <c r="T140" s="43" t="s">
        <v>10</v>
      </c>
    </row>
    <row r="141" spans="2:20" x14ac:dyDescent="0.3">
      <c r="B141" s="3">
        <v>2016</v>
      </c>
      <c r="C141" s="51">
        <f>Inputs_Summary!E$16*C34/1000000</f>
        <v>280.52467826386066</v>
      </c>
      <c r="D141" s="51">
        <f>Inputs_Summary!F$16*D34/1000000</f>
        <v>0</v>
      </c>
      <c r="E141" s="51">
        <f>Inputs_Summary!G$16*E34/1000000</f>
        <v>1.4970319768567157E-2</v>
      </c>
      <c r="F141" s="51">
        <f>Inputs_Summary!H$16*F34/1000000</f>
        <v>0</v>
      </c>
      <c r="G141" s="51">
        <f>Inputs_Summary!I$16*G34/1000000</f>
        <v>0</v>
      </c>
      <c r="H141" s="51">
        <f>Inputs_Summary!J$16*H34/1000000</f>
        <v>0</v>
      </c>
      <c r="I141" s="51">
        <f>Inputs_Summary!K$16*I34/1000000</f>
        <v>6.6213594050410038E-2</v>
      </c>
      <c r="J141" s="51">
        <f>Inputs_Summary!L$16*J34/1000000</f>
        <v>0</v>
      </c>
      <c r="K141" s="51">
        <f>Inputs_Summary!M$16*K34/1000000</f>
        <v>0</v>
      </c>
      <c r="L141" s="51">
        <f>Inputs_Summary!N$16*L34/1000000</f>
        <v>0.35950778379036846</v>
      </c>
      <c r="M141" s="51">
        <f>Inputs_Summary!O$16*M34/1000000</f>
        <v>0</v>
      </c>
      <c r="N141" s="51">
        <f>Inputs_Summary!P$16*N34/1000000</f>
        <v>5.9887859519957903E-4</v>
      </c>
      <c r="O141" s="51">
        <f>Inputs_Summary!R$16*O34/1000000</f>
        <v>0</v>
      </c>
      <c r="P141" s="97"/>
      <c r="Q141" s="39">
        <f>G141+N141</f>
        <v>5.9887859519957903E-4</v>
      </c>
      <c r="R141" s="5">
        <f>SUM(K141:L141)</f>
        <v>0.35950778379036846</v>
      </c>
      <c r="T141" s="5">
        <f>SUM(C141:O141)</f>
        <v>280.96596884006522</v>
      </c>
    </row>
    <row r="142" spans="2:20" x14ac:dyDescent="0.3">
      <c r="B142" s="3">
        <v>2030</v>
      </c>
      <c r="C142" s="51">
        <f>Inputs_Summary!E$16*C35/1000000</f>
        <v>186.68152848304683</v>
      </c>
      <c r="D142" s="51">
        <f>Inputs_Summary!F$16*D35/1000000</f>
        <v>0</v>
      </c>
      <c r="E142" s="51">
        <f>Inputs_Summary!G$16*E35/1000000</f>
        <v>4.4066975281767215E-2</v>
      </c>
      <c r="F142" s="51">
        <f>Inputs_Summary!H$16*F35/1000000</f>
        <v>0</v>
      </c>
      <c r="G142" s="51">
        <f>Inputs_Summary!I$16*G35/1000000</f>
        <v>0</v>
      </c>
      <c r="H142" s="51">
        <f>Inputs_Summary!J$16*H35/1000000</f>
        <v>0</v>
      </c>
      <c r="I142" s="51">
        <f>Inputs_Summary!K$16*I35/1000000</f>
        <v>6.7318935658061727E-2</v>
      </c>
      <c r="J142" s="51">
        <f>Inputs_Summary!L$16*J35/1000000</f>
        <v>0</v>
      </c>
      <c r="K142" s="51">
        <f>Inputs_Summary!M$16*K35/1000000</f>
        <v>0</v>
      </c>
      <c r="L142" s="51">
        <f>Inputs_Summary!N$16*L35/1000000</f>
        <v>0.36073361664309184</v>
      </c>
      <c r="M142" s="51">
        <f>Inputs_Summary!O$16*M35/1000000</f>
        <v>0</v>
      </c>
      <c r="N142" s="51">
        <f>Inputs_Summary!P$16*N35/1000000</f>
        <v>5.2284373361094613E-4</v>
      </c>
      <c r="O142" s="51">
        <f>Inputs_Summary!R$16*O35/1000000</f>
        <v>0</v>
      </c>
      <c r="P142" s="97"/>
      <c r="Q142" s="39">
        <f>G142+N142</f>
        <v>5.2284373361094613E-4</v>
      </c>
      <c r="R142" s="5">
        <f>SUM(K142:L142)</f>
        <v>0.36073361664309184</v>
      </c>
      <c r="T142" s="5">
        <f t="shared" ref="T142:T144" si="60">SUM(C142:O142)</f>
        <v>187.15417085436337</v>
      </c>
    </row>
    <row r="143" spans="2:20" x14ac:dyDescent="0.3">
      <c r="B143" s="3">
        <v>2040</v>
      </c>
      <c r="C143" s="51">
        <f>Inputs_Summary!E$16*C36/1000000</f>
        <v>56.231555159132512</v>
      </c>
      <c r="D143" s="51">
        <f>Inputs_Summary!F$16*D36/1000000</f>
        <v>0</v>
      </c>
      <c r="E143" s="51">
        <f>Inputs_Summary!G$16*E36/1000000</f>
        <v>4.4758568127018138E-2</v>
      </c>
      <c r="F143" s="51">
        <f>Inputs_Summary!H$16*F36/1000000</f>
        <v>0</v>
      </c>
      <c r="G143" s="51">
        <f>Inputs_Summary!I$16*G36/1000000</f>
        <v>0</v>
      </c>
      <c r="H143" s="51">
        <f>Inputs_Summary!J$16*H36/1000000</f>
        <v>0</v>
      </c>
      <c r="I143" s="51">
        <f>Inputs_Summary!K$16*I36/1000000</f>
        <v>6.7564953479391426E-2</v>
      </c>
      <c r="J143" s="51">
        <f>Inputs_Summary!L$16*J36/1000000</f>
        <v>0</v>
      </c>
      <c r="K143" s="51">
        <f>Inputs_Summary!M$16*K36/1000000</f>
        <v>0</v>
      </c>
      <c r="L143" s="51">
        <f>Inputs_Summary!N$16*L36/1000000</f>
        <v>0.36906954143982729</v>
      </c>
      <c r="M143" s="51">
        <f>Inputs_Summary!O$16*M36/1000000</f>
        <v>0</v>
      </c>
      <c r="N143" s="51">
        <f>Inputs_Summary!P$16*N36/1000000</f>
        <v>5.1698035153375024E-4</v>
      </c>
      <c r="O143" s="51">
        <f>Inputs_Summary!R$16*O36/1000000</f>
        <v>0</v>
      </c>
      <c r="P143" s="97"/>
      <c r="Q143" s="39">
        <f>G143+N143</f>
        <v>5.1698035153375024E-4</v>
      </c>
      <c r="R143" s="5">
        <f>SUM(K143:L143)</f>
        <v>0.36906954143982729</v>
      </c>
      <c r="T143" s="5">
        <f t="shared" si="60"/>
        <v>56.71346520253028</v>
      </c>
    </row>
    <row r="144" spans="2:20" x14ac:dyDescent="0.3">
      <c r="B144" s="3">
        <v>2050</v>
      </c>
      <c r="C144" s="51">
        <f>Inputs_Summary!E$16*C37/1000000</f>
        <v>0</v>
      </c>
      <c r="D144" s="51">
        <f>Inputs_Summary!F$16*D37/1000000</f>
        <v>0</v>
      </c>
      <c r="E144" s="51">
        <f>Inputs_Summary!G$16*E37/1000000</f>
        <v>4.4651743473576429E-2</v>
      </c>
      <c r="F144" s="51">
        <f>Inputs_Summary!H$16*F37/1000000</f>
        <v>0</v>
      </c>
      <c r="G144" s="51">
        <f>Inputs_Summary!I$16*G37/1000000</f>
        <v>0</v>
      </c>
      <c r="H144" s="51">
        <f>Inputs_Summary!J$16*H37/1000000</f>
        <v>0</v>
      </c>
      <c r="I144" s="51">
        <f>Inputs_Summary!K$16*I37/1000000</f>
        <v>0</v>
      </c>
      <c r="J144" s="51">
        <f>Inputs_Summary!L$16*J37/1000000</f>
        <v>0</v>
      </c>
      <c r="K144" s="51">
        <f>Inputs_Summary!M$16*K37/1000000</f>
        <v>0</v>
      </c>
      <c r="L144" s="51">
        <f>Inputs_Summary!N$16*L37/1000000</f>
        <v>0.36453256442347476</v>
      </c>
      <c r="M144" s="51">
        <f>Inputs_Summary!O$16*M37/1000000</f>
        <v>0</v>
      </c>
      <c r="N144" s="51">
        <f>Inputs_Summary!P$16*N37/1000000</f>
        <v>5.1798985860524024E-4</v>
      </c>
      <c r="O144" s="51">
        <f>Inputs_Summary!R$16*O37/1000000</f>
        <v>0</v>
      </c>
      <c r="P144" s="97"/>
      <c r="Q144" s="39">
        <f>G144+N144</f>
        <v>5.1798985860524024E-4</v>
      </c>
      <c r="R144" s="5">
        <f>SUM(K144:L144)</f>
        <v>0.36453256442347476</v>
      </c>
      <c r="T144" s="5">
        <f t="shared" si="60"/>
        <v>0.40970229775565642</v>
      </c>
    </row>
    <row r="145" spans="2:20" x14ac:dyDescent="0.3"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28"/>
      <c r="Q145" s="5"/>
      <c r="R145" s="5"/>
      <c r="S145" s="5"/>
      <c r="T145" s="5"/>
    </row>
    <row r="146" spans="2:20" ht="28.8" x14ac:dyDescent="0.3">
      <c r="B146" s="43" t="s">
        <v>77</v>
      </c>
      <c r="C146" s="43" t="s">
        <v>0</v>
      </c>
      <c r="D146" s="43" t="s">
        <v>1</v>
      </c>
      <c r="E146" s="43" t="s">
        <v>28</v>
      </c>
      <c r="F146" s="2" t="s">
        <v>29</v>
      </c>
      <c r="G146" s="2" t="s">
        <v>6</v>
      </c>
      <c r="H146" s="43" t="s">
        <v>2</v>
      </c>
      <c r="I146" s="43" t="s">
        <v>3</v>
      </c>
      <c r="J146" s="43" t="s">
        <v>4</v>
      </c>
      <c r="K146" s="43" t="s">
        <v>9</v>
      </c>
      <c r="L146" s="43" t="s">
        <v>8</v>
      </c>
      <c r="M146" s="43" t="s">
        <v>25</v>
      </c>
      <c r="N146" s="43" t="s">
        <v>7</v>
      </c>
      <c r="O146" s="43" t="s">
        <v>89</v>
      </c>
      <c r="P146" s="25"/>
      <c r="Q146" s="43" t="s">
        <v>5</v>
      </c>
      <c r="R146" s="43" t="s">
        <v>91</v>
      </c>
      <c r="T146" s="43" t="s">
        <v>10</v>
      </c>
    </row>
    <row r="147" spans="2:20" x14ac:dyDescent="0.3">
      <c r="B147" s="3">
        <v>2016</v>
      </c>
      <c r="C147" s="51">
        <f>Inputs_Summary!E$19*C40/1000000</f>
        <v>1.186581624139819</v>
      </c>
      <c r="D147" s="51">
        <f>Inputs_Summary!F$19*D40/1000000</f>
        <v>0</v>
      </c>
      <c r="E147" s="51">
        <f>Inputs_Summary!G$19*E40/1000000</f>
        <v>0</v>
      </c>
      <c r="F147" s="51">
        <f>Inputs_Summary!H$19*F40/1000000</f>
        <v>0</v>
      </c>
      <c r="G147" s="51">
        <f>Inputs_Summary!I$19*G40/1000000</f>
        <v>0</v>
      </c>
      <c r="H147" s="51">
        <f>Inputs_Summary!J$19*H40/1000000</f>
        <v>0</v>
      </c>
      <c r="I147" s="51">
        <f>Inputs_Summary!K$19*I40/1000000</f>
        <v>6.6978467462469066E-3</v>
      </c>
      <c r="J147" s="51">
        <f>Inputs_Summary!L$19*J40/1000000</f>
        <v>0</v>
      </c>
      <c r="K147" s="51">
        <f>Inputs_Summary!M$19*K40/1000000</f>
        <v>0</v>
      </c>
      <c r="L147" s="51">
        <f>Inputs_Summary!N$19*L40/1000000</f>
        <v>8.739765331128805E-3</v>
      </c>
      <c r="M147" s="51">
        <f>Inputs_Summary!O$19*M40/1000000</f>
        <v>0</v>
      </c>
      <c r="N147" s="51">
        <f>Inputs_Summary!P$19*N40/1000000</f>
        <v>0</v>
      </c>
      <c r="O147" s="51">
        <f>Inputs_Summary!R$19*O40/1000000</f>
        <v>0</v>
      </c>
      <c r="P147" s="97"/>
      <c r="Q147" s="39">
        <f>G147+N147</f>
        <v>0</v>
      </c>
      <c r="R147" s="5">
        <f>SUM(K147:L147)</f>
        <v>8.739765331128805E-3</v>
      </c>
      <c r="T147" s="5">
        <f>SUM(C147:O147)</f>
        <v>1.2020192362171946</v>
      </c>
    </row>
    <row r="148" spans="2:20" x14ac:dyDescent="0.3">
      <c r="B148" s="3">
        <v>2030</v>
      </c>
      <c r="C148" s="51">
        <f>Inputs_Summary!E$19*C41/1000000</f>
        <v>15.594734380400462</v>
      </c>
      <c r="D148" s="51">
        <f>Inputs_Summary!F$19*D41/1000000</f>
        <v>0</v>
      </c>
      <c r="E148" s="51">
        <f>Inputs_Summary!G$19*E41/1000000</f>
        <v>0</v>
      </c>
      <c r="F148" s="51">
        <f>Inputs_Summary!H$19*F41/1000000</f>
        <v>0</v>
      </c>
      <c r="G148" s="51">
        <f>Inputs_Summary!I$19*G41/1000000</f>
        <v>0</v>
      </c>
      <c r="H148" s="51">
        <f>Inputs_Summary!J$19*H41/1000000</f>
        <v>0</v>
      </c>
      <c r="I148" s="51">
        <f>Inputs_Summary!K$19*I41/1000000</f>
        <v>0.33700267183975147</v>
      </c>
      <c r="J148" s="51">
        <f>Inputs_Summary!L$19*J41/1000000</f>
        <v>0</v>
      </c>
      <c r="K148" s="51">
        <f>Inputs_Summary!M$19*K41/1000000</f>
        <v>0</v>
      </c>
      <c r="L148" s="51">
        <f>Inputs_Summary!N$19*L41/1000000</f>
        <v>0.23199941198740565</v>
      </c>
      <c r="M148" s="51">
        <f>Inputs_Summary!O$19*M41/1000000</f>
        <v>0</v>
      </c>
      <c r="N148" s="51">
        <f>Inputs_Summary!P$19*N41/1000000</f>
        <v>6.2280215322443172E-4</v>
      </c>
      <c r="O148" s="51">
        <f>Inputs_Summary!R$19*O41/1000000</f>
        <v>0</v>
      </c>
      <c r="P148" s="97"/>
      <c r="Q148" s="39">
        <f>G148+N148</f>
        <v>6.2280215322443172E-4</v>
      </c>
      <c r="R148" s="5">
        <f>SUM(K148:L148)</f>
        <v>0.23199941198740565</v>
      </c>
      <c r="T148" s="5">
        <f t="shared" ref="T148:T150" si="61">SUM(C148:O148)</f>
        <v>16.164359266380842</v>
      </c>
    </row>
    <row r="149" spans="2:20" x14ac:dyDescent="0.3">
      <c r="B149" s="3">
        <v>2040</v>
      </c>
      <c r="C149" s="51">
        <f>Inputs_Summary!E$19*C42/1000000</f>
        <v>15.484787699782402</v>
      </c>
      <c r="D149" s="51">
        <f>Inputs_Summary!F$19*D42/1000000</f>
        <v>0</v>
      </c>
      <c r="E149" s="51">
        <f>Inputs_Summary!G$19*E42/1000000</f>
        <v>0</v>
      </c>
      <c r="F149" s="51">
        <f>Inputs_Summary!H$19*F42/1000000</f>
        <v>0</v>
      </c>
      <c r="G149" s="51">
        <f>Inputs_Summary!I$19*G42/1000000</f>
        <v>0</v>
      </c>
      <c r="H149" s="51">
        <f>Inputs_Summary!J$19*H42/1000000</f>
        <v>0</v>
      </c>
      <c r="I149" s="51">
        <f>Inputs_Summary!K$19*I42/1000000</f>
        <v>0.33790510622392433</v>
      </c>
      <c r="J149" s="51">
        <f>Inputs_Summary!L$19*J42/1000000</f>
        <v>0</v>
      </c>
      <c r="K149" s="51">
        <f>Inputs_Summary!M$19*K42/1000000</f>
        <v>0</v>
      </c>
      <c r="L149" s="51">
        <f>Inputs_Summary!N$19*L42/1000000</f>
        <v>0.23274861137125616</v>
      </c>
      <c r="M149" s="51">
        <f>Inputs_Summary!O$19*M42/1000000</f>
        <v>0</v>
      </c>
      <c r="N149" s="51">
        <f>Inputs_Summary!P$19*N42/1000000</f>
        <v>6.0274204932120594E-4</v>
      </c>
      <c r="O149" s="51">
        <f>Inputs_Summary!R$19*O42/1000000</f>
        <v>0</v>
      </c>
      <c r="P149" s="97"/>
      <c r="Q149" s="39">
        <f>G149+N149</f>
        <v>6.0274204932120594E-4</v>
      </c>
      <c r="R149" s="5">
        <f>SUM(K149:L149)</f>
        <v>0.23274861137125616</v>
      </c>
      <c r="T149" s="5">
        <f t="shared" si="61"/>
        <v>16.056044159426904</v>
      </c>
    </row>
    <row r="150" spans="2:20" x14ac:dyDescent="0.3">
      <c r="B150" s="3">
        <v>2050</v>
      </c>
      <c r="C150" s="51">
        <f>Inputs_Summary!E$19*C43/1000000</f>
        <v>14.944027773997272</v>
      </c>
      <c r="D150" s="51">
        <f>Inputs_Summary!F$19*D43/1000000</f>
        <v>0</v>
      </c>
      <c r="E150" s="51">
        <f>Inputs_Summary!G$19*E43/1000000</f>
        <v>0</v>
      </c>
      <c r="F150" s="51">
        <f>Inputs_Summary!H$19*F43/1000000</f>
        <v>0</v>
      </c>
      <c r="G150" s="51">
        <f>Inputs_Summary!I$19*G43/1000000</f>
        <v>0</v>
      </c>
      <c r="H150" s="51">
        <f>Inputs_Summary!J$19*H43/1000000</f>
        <v>0</v>
      </c>
      <c r="I150" s="51">
        <f>Inputs_Summary!K$19*I43/1000000</f>
        <v>0</v>
      </c>
      <c r="J150" s="51">
        <f>Inputs_Summary!L$19*J43/1000000</f>
        <v>0</v>
      </c>
      <c r="K150" s="51">
        <f>Inputs_Summary!M$19*K43/1000000</f>
        <v>0</v>
      </c>
      <c r="L150" s="51">
        <f>Inputs_Summary!N$19*L43/1000000</f>
        <v>0</v>
      </c>
      <c r="M150" s="51">
        <f>Inputs_Summary!O$19*M43/1000000</f>
        <v>0</v>
      </c>
      <c r="N150" s="51">
        <f>Inputs_Summary!P$19*N43/1000000</f>
        <v>6.1100414755714376E-4</v>
      </c>
      <c r="O150" s="51">
        <f>Inputs_Summary!R$19*O43/1000000</f>
        <v>0</v>
      </c>
      <c r="P150" s="97"/>
      <c r="Q150" s="39">
        <f>G150+N150</f>
        <v>6.1100414755714376E-4</v>
      </c>
      <c r="R150" s="5">
        <f>SUM(K150:L150)</f>
        <v>0</v>
      </c>
      <c r="T150" s="5">
        <f t="shared" si="61"/>
        <v>14.94463877814483</v>
      </c>
    </row>
    <row r="151" spans="2:20" x14ac:dyDescent="0.3"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28"/>
      <c r="Q151" s="5"/>
      <c r="R151" s="5"/>
      <c r="S151" s="5"/>
      <c r="T151" s="5"/>
    </row>
    <row r="152" spans="2:20" ht="28.8" x14ac:dyDescent="0.3">
      <c r="B152" s="43" t="s">
        <v>78</v>
      </c>
      <c r="C152" s="43" t="s">
        <v>0</v>
      </c>
      <c r="D152" s="43" t="s">
        <v>1</v>
      </c>
      <c r="E152" s="43" t="s">
        <v>28</v>
      </c>
      <c r="F152" s="2" t="s">
        <v>29</v>
      </c>
      <c r="G152" s="2" t="s">
        <v>6</v>
      </c>
      <c r="H152" s="43" t="s">
        <v>2</v>
      </c>
      <c r="I152" s="43" t="s">
        <v>3</v>
      </c>
      <c r="J152" s="43" t="s">
        <v>4</v>
      </c>
      <c r="K152" s="43" t="s">
        <v>9</v>
      </c>
      <c r="L152" s="43" t="s">
        <v>8</v>
      </c>
      <c r="M152" s="43" t="s">
        <v>25</v>
      </c>
      <c r="N152" s="43" t="s">
        <v>7</v>
      </c>
      <c r="O152" s="43" t="s">
        <v>89</v>
      </c>
      <c r="P152" s="25"/>
      <c r="Q152" s="43" t="s">
        <v>5</v>
      </c>
      <c r="R152" s="43" t="s">
        <v>91</v>
      </c>
      <c r="T152" s="43" t="s">
        <v>10</v>
      </c>
    </row>
    <row r="153" spans="2:20" x14ac:dyDescent="0.3">
      <c r="B153" s="3">
        <v>2016</v>
      </c>
      <c r="C153" s="51">
        <f>Inputs_Summary!E$22*C46/1000000</f>
        <v>0</v>
      </c>
      <c r="D153" s="51">
        <f>Inputs_Summary!F$22*D46/1000000</f>
        <v>0</v>
      </c>
      <c r="E153" s="51">
        <f>Inputs_Summary!G$22*E46/1000000</f>
        <v>0</v>
      </c>
      <c r="F153" s="51">
        <f>Inputs_Summary!H$22*F46/1000000</f>
        <v>0</v>
      </c>
      <c r="G153" s="51">
        <f>Inputs_Summary!I$22*G46/1000000</f>
        <v>0</v>
      </c>
      <c r="H153" s="51">
        <f>Inputs_Summary!J$22*H46/1000000</f>
        <v>0</v>
      </c>
      <c r="I153" s="51">
        <f>Inputs_Summary!K$22*I46/1000000</f>
        <v>0</v>
      </c>
      <c r="J153" s="51">
        <f>Inputs_Summary!L$22*J46/1000000</f>
        <v>0</v>
      </c>
      <c r="K153" s="51">
        <f>Inputs_Summary!M$22*K46/1000000</f>
        <v>0</v>
      </c>
      <c r="L153" s="51">
        <f>Inputs_Summary!N$22*L46/1000000</f>
        <v>0</v>
      </c>
      <c r="M153" s="51">
        <f>Inputs_Summary!O$22*M46/1000000</f>
        <v>0</v>
      </c>
      <c r="N153" s="51">
        <f>Inputs_Summary!P$22*N46/1000000</f>
        <v>0</v>
      </c>
      <c r="O153" s="51">
        <f>Inputs_Summary!R$22*O46/1000000</f>
        <v>0</v>
      </c>
      <c r="P153" s="97"/>
      <c r="Q153" s="39">
        <f>G153+N153</f>
        <v>0</v>
      </c>
      <c r="R153" s="5">
        <f>SUM(K153:L153)</f>
        <v>0</v>
      </c>
      <c r="T153" s="5">
        <f>SUM(C153:O153)</f>
        <v>0</v>
      </c>
    </row>
    <row r="154" spans="2:20" x14ac:dyDescent="0.3">
      <c r="B154" s="3">
        <v>2030</v>
      </c>
      <c r="C154" s="51">
        <f>Inputs_Summary!E$22*C47/1000000</f>
        <v>0</v>
      </c>
      <c r="D154" s="51">
        <f>Inputs_Summary!F$22*D47/1000000</f>
        <v>0</v>
      </c>
      <c r="E154" s="51">
        <f>Inputs_Summary!G$22*E47/1000000</f>
        <v>0.20072487045164267</v>
      </c>
      <c r="F154" s="51">
        <f>Inputs_Summary!H$22*F47/1000000</f>
        <v>0</v>
      </c>
      <c r="G154" s="51">
        <f>Inputs_Summary!I$22*G47/1000000</f>
        <v>0</v>
      </c>
      <c r="H154" s="51">
        <f>Inputs_Summary!J$22*H47/1000000</f>
        <v>0</v>
      </c>
      <c r="I154" s="51">
        <f>Inputs_Summary!K$22*I47/1000000</f>
        <v>0</v>
      </c>
      <c r="J154" s="51">
        <f>Inputs_Summary!L$22*J47/1000000</f>
        <v>0</v>
      </c>
      <c r="K154" s="51">
        <f>Inputs_Summary!M$22*K47/1000000</f>
        <v>0</v>
      </c>
      <c r="L154" s="51">
        <f>Inputs_Summary!N$22*L47/1000000</f>
        <v>0</v>
      </c>
      <c r="M154" s="51">
        <f>Inputs_Summary!O$22*M47/1000000</f>
        <v>0</v>
      </c>
      <c r="N154" s="51">
        <f>Inputs_Summary!P$22*N47/1000000</f>
        <v>0</v>
      </c>
      <c r="O154" s="51">
        <f>Inputs_Summary!R$22*O47/1000000</f>
        <v>0</v>
      </c>
      <c r="P154" s="97"/>
      <c r="Q154" s="39">
        <f>G154+N154</f>
        <v>0</v>
      </c>
      <c r="R154" s="5">
        <f>SUM(K154:L154)</f>
        <v>0</v>
      </c>
      <c r="T154" s="5">
        <f t="shared" ref="T154:T156" si="62">SUM(C154:O154)</f>
        <v>0.20072487045164267</v>
      </c>
    </row>
    <row r="155" spans="2:20" x14ac:dyDescent="0.3">
      <c r="B155" s="3">
        <v>2040</v>
      </c>
      <c r="C155" s="51">
        <f>Inputs_Summary!E$22*C48/1000000</f>
        <v>0</v>
      </c>
      <c r="D155" s="51">
        <f>Inputs_Summary!F$22*D48/1000000</f>
        <v>0</v>
      </c>
      <c r="E155" s="51">
        <f>Inputs_Summary!G$22*E48/1000000</f>
        <v>0.54911266876754017</v>
      </c>
      <c r="F155" s="51">
        <f>Inputs_Summary!H$22*F48/1000000</f>
        <v>0</v>
      </c>
      <c r="G155" s="51">
        <f>Inputs_Summary!I$22*G48/1000000</f>
        <v>0</v>
      </c>
      <c r="H155" s="51">
        <f>Inputs_Summary!J$22*H48/1000000</f>
        <v>0</v>
      </c>
      <c r="I155" s="51">
        <f>Inputs_Summary!K$22*I48/1000000</f>
        <v>0</v>
      </c>
      <c r="J155" s="51">
        <f>Inputs_Summary!L$22*J48/1000000</f>
        <v>0</v>
      </c>
      <c r="K155" s="51">
        <f>Inputs_Summary!M$22*K48/1000000</f>
        <v>0</v>
      </c>
      <c r="L155" s="51">
        <f>Inputs_Summary!N$22*L48/1000000</f>
        <v>0</v>
      </c>
      <c r="M155" s="51">
        <f>Inputs_Summary!O$22*M48/1000000</f>
        <v>0</v>
      </c>
      <c r="N155" s="51">
        <f>Inputs_Summary!P$22*N48/1000000</f>
        <v>0</v>
      </c>
      <c r="O155" s="51">
        <f>Inputs_Summary!R$22*O48/1000000</f>
        <v>0</v>
      </c>
      <c r="P155" s="97"/>
      <c r="Q155" s="39">
        <f>G155+N155</f>
        <v>0</v>
      </c>
      <c r="R155" s="5">
        <f>SUM(K155:L155)</f>
        <v>0</v>
      </c>
      <c r="T155" s="5">
        <f t="shared" si="62"/>
        <v>0.54911266876754017</v>
      </c>
    </row>
    <row r="156" spans="2:20" x14ac:dyDescent="0.3">
      <c r="B156" s="3">
        <v>2050</v>
      </c>
      <c r="C156" s="51">
        <f>Inputs_Summary!E$22*C49/1000000</f>
        <v>5.4585547414223159</v>
      </c>
      <c r="D156" s="51">
        <f>Inputs_Summary!F$22*D49/1000000</f>
        <v>0</v>
      </c>
      <c r="E156" s="51">
        <f>Inputs_Summary!G$22*E49/1000000</f>
        <v>0.6980461864418358</v>
      </c>
      <c r="F156" s="51">
        <f>Inputs_Summary!H$22*F49/1000000</f>
        <v>0</v>
      </c>
      <c r="G156" s="51">
        <f>Inputs_Summary!I$22*G49/1000000</f>
        <v>0</v>
      </c>
      <c r="H156" s="51">
        <f>Inputs_Summary!J$22*H49/1000000</f>
        <v>0</v>
      </c>
      <c r="I156" s="51">
        <f>Inputs_Summary!K$22*I49/1000000</f>
        <v>0</v>
      </c>
      <c r="J156" s="51">
        <f>Inputs_Summary!L$22*J49/1000000</f>
        <v>0</v>
      </c>
      <c r="K156" s="51">
        <f>Inputs_Summary!M$22*K49/1000000</f>
        <v>0</v>
      </c>
      <c r="L156" s="51">
        <f>Inputs_Summary!N$22*L49/1000000</f>
        <v>0</v>
      </c>
      <c r="M156" s="51">
        <f>Inputs_Summary!O$22*M49/1000000</f>
        <v>0</v>
      </c>
      <c r="N156" s="51">
        <f>Inputs_Summary!P$22*N49/1000000</f>
        <v>0</v>
      </c>
      <c r="O156" s="51">
        <f>Inputs_Summary!R$22*O49/1000000</f>
        <v>0</v>
      </c>
      <c r="P156" s="97"/>
      <c r="Q156" s="39">
        <f>G156+N156</f>
        <v>0</v>
      </c>
      <c r="R156" s="5">
        <f>SUM(K156:L156)</f>
        <v>0</v>
      </c>
      <c r="T156" s="5">
        <f t="shared" si="62"/>
        <v>6.1566009278641518</v>
      </c>
    </row>
    <row r="157" spans="2:20" x14ac:dyDescent="0.3"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28"/>
    </row>
    <row r="158" spans="2:20" ht="28.8" x14ac:dyDescent="0.3">
      <c r="B158" s="43" t="s">
        <v>79</v>
      </c>
      <c r="C158" s="43" t="s">
        <v>0</v>
      </c>
      <c r="D158" s="43" t="s">
        <v>1</v>
      </c>
      <c r="E158" s="43" t="s">
        <v>28</v>
      </c>
      <c r="F158" s="2" t="s">
        <v>29</v>
      </c>
      <c r="G158" s="2" t="s">
        <v>6</v>
      </c>
      <c r="H158" s="43" t="s">
        <v>2</v>
      </c>
      <c r="I158" s="43" t="s">
        <v>3</v>
      </c>
      <c r="J158" s="43" t="s">
        <v>4</v>
      </c>
      <c r="K158" s="43" t="s">
        <v>9</v>
      </c>
      <c r="L158" s="43" t="s">
        <v>8</v>
      </c>
      <c r="M158" s="43" t="s">
        <v>25</v>
      </c>
      <c r="N158" s="43" t="s">
        <v>7</v>
      </c>
      <c r="O158" s="43" t="s">
        <v>89</v>
      </c>
      <c r="P158" s="25"/>
      <c r="Q158" s="43" t="s">
        <v>5</v>
      </c>
      <c r="R158" s="43" t="s">
        <v>91</v>
      </c>
      <c r="T158" s="43" t="s">
        <v>10</v>
      </c>
    </row>
    <row r="159" spans="2:20" x14ac:dyDescent="0.3">
      <c r="B159" s="3">
        <v>2016</v>
      </c>
      <c r="C159" s="51">
        <f t="shared" ref="C159:O162" si="63">C141+C147+C153</f>
        <v>281.71125988800048</v>
      </c>
      <c r="D159" s="51">
        <f t="shared" si="63"/>
        <v>0</v>
      </c>
      <c r="E159" s="51">
        <f t="shared" si="63"/>
        <v>1.4970319768567157E-2</v>
      </c>
      <c r="F159" s="51">
        <f t="shared" si="63"/>
        <v>0</v>
      </c>
      <c r="G159" s="51">
        <f t="shared" si="63"/>
        <v>0</v>
      </c>
      <c r="H159" s="51">
        <f t="shared" si="63"/>
        <v>0</v>
      </c>
      <c r="I159" s="51">
        <f t="shared" si="63"/>
        <v>7.2911440796656943E-2</v>
      </c>
      <c r="J159" s="51">
        <f t="shared" si="63"/>
        <v>0</v>
      </c>
      <c r="K159" s="51">
        <f t="shared" si="63"/>
        <v>0</v>
      </c>
      <c r="L159" s="51">
        <f t="shared" si="63"/>
        <v>0.36824754912149726</v>
      </c>
      <c r="M159" s="51">
        <f t="shared" si="63"/>
        <v>0</v>
      </c>
      <c r="N159" s="51">
        <f t="shared" si="63"/>
        <v>5.9887859519957903E-4</v>
      </c>
      <c r="O159" s="51">
        <f t="shared" si="63"/>
        <v>0</v>
      </c>
      <c r="P159" s="97"/>
      <c r="Q159" s="39">
        <f>G159+N159</f>
        <v>5.9887859519957903E-4</v>
      </c>
      <c r="R159" s="5">
        <f>SUM(K159:L159)</f>
        <v>0.36824754912149726</v>
      </c>
      <c r="T159" s="5">
        <f>SUM(C159:O159)</f>
        <v>282.16798807628243</v>
      </c>
    </row>
    <row r="160" spans="2:20" x14ac:dyDescent="0.3">
      <c r="B160" s="3">
        <v>2030</v>
      </c>
      <c r="C160" s="51">
        <f t="shared" ref="C160:N160" si="64">C142+C148+C154</f>
        <v>202.2762628634473</v>
      </c>
      <c r="D160" s="51">
        <f t="shared" si="64"/>
        <v>0</v>
      </c>
      <c r="E160" s="51">
        <f t="shared" si="64"/>
        <v>0.2447918457334099</v>
      </c>
      <c r="F160" s="51">
        <f t="shared" si="64"/>
        <v>0</v>
      </c>
      <c r="G160" s="51">
        <f t="shared" si="64"/>
        <v>0</v>
      </c>
      <c r="H160" s="51">
        <f t="shared" si="64"/>
        <v>0</v>
      </c>
      <c r="I160" s="51">
        <f t="shared" si="64"/>
        <v>0.40432160749781321</v>
      </c>
      <c r="J160" s="51">
        <f t="shared" si="64"/>
        <v>0</v>
      </c>
      <c r="K160" s="51">
        <f t="shared" si="64"/>
        <v>0</v>
      </c>
      <c r="L160" s="51">
        <f t="shared" si="64"/>
        <v>0.59273302863049748</v>
      </c>
      <c r="M160" s="51">
        <f t="shared" si="64"/>
        <v>0</v>
      </c>
      <c r="N160" s="51">
        <f t="shared" si="64"/>
        <v>1.145645886835378E-3</v>
      </c>
      <c r="O160" s="51">
        <f t="shared" si="63"/>
        <v>0</v>
      </c>
      <c r="P160" s="97"/>
      <c r="Q160" s="39">
        <f>G160+N160</f>
        <v>1.145645886835378E-3</v>
      </c>
      <c r="R160" s="5">
        <f>SUM(K160:L160)</f>
        <v>0.59273302863049748</v>
      </c>
      <c r="T160" s="5">
        <f t="shared" ref="T160:T162" si="65">SUM(C160:O160)</f>
        <v>203.51925499119585</v>
      </c>
    </row>
    <row r="161" spans="2:20" x14ac:dyDescent="0.3">
      <c r="B161" s="3">
        <v>2040</v>
      </c>
      <c r="C161" s="51">
        <f t="shared" ref="C161:N161" si="66">C143+C149+C155</f>
        <v>71.716342858914913</v>
      </c>
      <c r="D161" s="51">
        <f t="shared" si="66"/>
        <v>0</v>
      </c>
      <c r="E161" s="51">
        <f t="shared" si="66"/>
        <v>0.59387123689455834</v>
      </c>
      <c r="F161" s="51">
        <f t="shared" si="66"/>
        <v>0</v>
      </c>
      <c r="G161" s="51">
        <f t="shared" si="66"/>
        <v>0</v>
      </c>
      <c r="H161" s="51">
        <f t="shared" si="66"/>
        <v>0</v>
      </c>
      <c r="I161" s="51">
        <f t="shared" si="66"/>
        <v>0.40547005970331573</v>
      </c>
      <c r="J161" s="51">
        <f t="shared" si="66"/>
        <v>0</v>
      </c>
      <c r="K161" s="51">
        <f t="shared" si="66"/>
        <v>0</v>
      </c>
      <c r="L161" s="51">
        <f t="shared" si="66"/>
        <v>0.60181815281108342</v>
      </c>
      <c r="M161" s="51">
        <f t="shared" si="66"/>
        <v>0</v>
      </c>
      <c r="N161" s="51">
        <f t="shared" si="66"/>
        <v>1.1197224008549561E-3</v>
      </c>
      <c r="O161" s="51">
        <f t="shared" si="63"/>
        <v>0</v>
      </c>
      <c r="P161" s="97"/>
      <c r="Q161" s="39">
        <f>G161+N161</f>
        <v>1.1197224008549561E-3</v>
      </c>
      <c r="R161" s="5">
        <f>SUM(K161:L161)</f>
        <v>0.60181815281108342</v>
      </c>
      <c r="T161" s="5">
        <f t="shared" si="65"/>
        <v>73.318622030724725</v>
      </c>
    </row>
    <row r="162" spans="2:20" x14ac:dyDescent="0.3">
      <c r="B162" s="3">
        <v>2050</v>
      </c>
      <c r="C162" s="51">
        <f t="shared" ref="C162:N162" si="67">C144+C150+C156</f>
        <v>20.402582515419589</v>
      </c>
      <c r="D162" s="51">
        <f t="shared" si="67"/>
        <v>0</v>
      </c>
      <c r="E162" s="51">
        <f t="shared" si="67"/>
        <v>0.74269792991541228</v>
      </c>
      <c r="F162" s="51">
        <f t="shared" si="67"/>
        <v>0</v>
      </c>
      <c r="G162" s="51">
        <f t="shared" si="67"/>
        <v>0</v>
      </c>
      <c r="H162" s="51">
        <f t="shared" si="67"/>
        <v>0</v>
      </c>
      <c r="I162" s="51">
        <f t="shared" si="67"/>
        <v>0</v>
      </c>
      <c r="J162" s="51">
        <f t="shared" si="67"/>
        <v>0</v>
      </c>
      <c r="K162" s="51">
        <f t="shared" si="67"/>
        <v>0</v>
      </c>
      <c r="L162" s="51">
        <f t="shared" si="67"/>
        <v>0.36453256442347476</v>
      </c>
      <c r="M162" s="51">
        <f t="shared" si="67"/>
        <v>0</v>
      </c>
      <c r="N162" s="51">
        <f t="shared" si="67"/>
        <v>1.1289940061623839E-3</v>
      </c>
      <c r="O162" s="51">
        <f t="shared" si="63"/>
        <v>0</v>
      </c>
      <c r="P162" s="97"/>
      <c r="Q162" s="39">
        <f>G162+N162</f>
        <v>1.1289940061623839E-3</v>
      </c>
      <c r="R162" s="5">
        <f>SUM(K162:L162)</f>
        <v>0.36453256442347476</v>
      </c>
      <c r="T162" s="5">
        <f t="shared" si="65"/>
        <v>21.510942003764637</v>
      </c>
    </row>
    <row r="163" spans="2:20" x14ac:dyDescent="0.3"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28"/>
    </row>
    <row r="164" spans="2:20" x14ac:dyDescent="0.3">
      <c r="B164" s="3">
        <v>2016</v>
      </c>
      <c r="C164" s="23">
        <f t="shared" ref="C164:O167" si="68">IFERROR(C159/$T159,0)</f>
        <v>0.9983813607227533</v>
      </c>
      <c r="D164" s="23">
        <f t="shared" si="68"/>
        <v>0</v>
      </c>
      <c r="E164" s="23">
        <f t="shared" si="68"/>
        <v>5.3054635540442739E-5</v>
      </c>
      <c r="F164" s="23">
        <f t="shared" si="68"/>
        <v>0</v>
      </c>
      <c r="G164" s="23">
        <f t="shared" si="68"/>
        <v>0</v>
      </c>
      <c r="H164" s="23">
        <f t="shared" si="68"/>
        <v>0</v>
      </c>
      <c r="I164" s="23">
        <f t="shared" si="68"/>
        <v>2.5839728061903951E-4</v>
      </c>
      <c r="J164" s="23">
        <f t="shared" si="68"/>
        <v>0</v>
      </c>
      <c r="K164" s="23">
        <f t="shared" si="68"/>
        <v>0</v>
      </c>
      <c r="L164" s="23">
        <f t="shared" si="68"/>
        <v>1.3050649424552858E-3</v>
      </c>
      <c r="M164" s="23">
        <f t="shared" si="68"/>
        <v>0</v>
      </c>
      <c r="N164" s="23">
        <f t="shared" si="68"/>
        <v>2.1224186318317433E-6</v>
      </c>
      <c r="O164" s="23">
        <f t="shared" si="68"/>
        <v>0</v>
      </c>
      <c r="P164" s="26"/>
      <c r="Q164" s="7">
        <f t="shared" ref="Q164:R167" si="69">Q159/$T159</f>
        <v>2.1224186318317433E-6</v>
      </c>
      <c r="R164" s="7">
        <f t="shared" si="69"/>
        <v>1.3050649424552858E-3</v>
      </c>
      <c r="T164" s="8">
        <f>SUM(C164:O164)</f>
        <v>0.99999999999999989</v>
      </c>
    </row>
    <row r="165" spans="2:20" x14ac:dyDescent="0.3">
      <c r="B165" s="3">
        <v>2030</v>
      </c>
      <c r="C165" s="23">
        <f t="shared" si="68"/>
        <v>0.99389250846165722</v>
      </c>
      <c r="D165" s="23">
        <f t="shared" si="68"/>
        <v>0</v>
      </c>
      <c r="E165" s="23">
        <f t="shared" si="68"/>
        <v>1.2027945254811368E-3</v>
      </c>
      <c r="F165" s="23">
        <f t="shared" si="68"/>
        <v>0</v>
      </c>
      <c r="G165" s="23">
        <f t="shared" si="68"/>
        <v>0</v>
      </c>
      <c r="H165" s="23">
        <f t="shared" si="68"/>
        <v>0</v>
      </c>
      <c r="I165" s="23">
        <f t="shared" si="68"/>
        <v>1.9866503909681862E-3</v>
      </c>
      <c r="J165" s="23">
        <f t="shared" si="68"/>
        <v>0</v>
      </c>
      <c r="K165" s="23">
        <f t="shared" si="68"/>
        <v>0</v>
      </c>
      <c r="L165" s="23">
        <f t="shared" si="68"/>
        <v>2.9124174450036134E-3</v>
      </c>
      <c r="M165" s="23">
        <f t="shared" si="68"/>
        <v>0</v>
      </c>
      <c r="N165" s="23">
        <f t="shared" si="68"/>
        <v>5.6291768898472927E-6</v>
      </c>
      <c r="O165" s="23">
        <f t="shared" si="68"/>
        <v>0</v>
      </c>
      <c r="P165" s="26"/>
      <c r="Q165" s="7">
        <f t="shared" si="69"/>
        <v>5.6291768898472927E-6</v>
      </c>
      <c r="R165" s="7">
        <f t="shared" si="69"/>
        <v>2.9124174450036134E-3</v>
      </c>
      <c r="T165" s="8">
        <f t="shared" ref="T165:T167" si="70">SUM(C165:O165)</f>
        <v>1</v>
      </c>
    </row>
    <row r="166" spans="2:20" x14ac:dyDescent="0.3">
      <c r="B166" s="3">
        <v>2040</v>
      </c>
      <c r="C166" s="23">
        <f t="shared" si="68"/>
        <v>0.97814635453543619</v>
      </c>
      <c r="D166" s="23">
        <f t="shared" si="68"/>
        <v>0</v>
      </c>
      <c r="E166" s="23">
        <f t="shared" si="68"/>
        <v>8.0998690434429064E-3</v>
      </c>
      <c r="F166" s="23">
        <f t="shared" si="68"/>
        <v>0</v>
      </c>
      <c r="G166" s="23">
        <f t="shared" si="68"/>
        <v>0</v>
      </c>
      <c r="H166" s="23">
        <f t="shared" si="68"/>
        <v>0</v>
      </c>
      <c r="I166" s="23">
        <f t="shared" si="68"/>
        <v>5.5302465931970244E-3</v>
      </c>
      <c r="J166" s="23">
        <f t="shared" si="68"/>
        <v>0</v>
      </c>
      <c r="K166" s="23">
        <f t="shared" si="68"/>
        <v>0</v>
      </c>
      <c r="L166" s="23">
        <f t="shared" si="68"/>
        <v>8.2082578223972476E-3</v>
      </c>
      <c r="M166" s="23">
        <f t="shared" si="68"/>
        <v>0</v>
      </c>
      <c r="N166" s="23">
        <f t="shared" si="68"/>
        <v>1.5272005526586793E-5</v>
      </c>
      <c r="O166" s="23">
        <f t="shared" si="68"/>
        <v>0</v>
      </c>
      <c r="P166" s="26"/>
      <c r="Q166" s="7">
        <f t="shared" si="69"/>
        <v>1.5272005526586793E-5</v>
      </c>
      <c r="R166" s="7">
        <f t="shared" si="69"/>
        <v>8.2082578223972476E-3</v>
      </c>
      <c r="T166" s="8">
        <f t="shared" si="70"/>
        <v>0.99999999999999989</v>
      </c>
    </row>
    <row r="167" spans="2:20" x14ac:dyDescent="0.3">
      <c r="B167" s="3">
        <v>2050</v>
      </c>
      <c r="C167" s="23">
        <f t="shared" si="68"/>
        <v>0.94847461872422534</v>
      </c>
      <c r="D167" s="23">
        <f t="shared" si="68"/>
        <v>0</v>
      </c>
      <c r="E167" s="23">
        <f t="shared" si="68"/>
        <v>3.4526518168541034E-2</v>
      </c>
      <c r="F167" s="23">
        <f t="shared" si="68"/>
        <v>0</v>
      </c>
      <c r="G167" s="23">
        <f t="shared" si="68"/>
        <v>0</v>
      </c>
      <c r="H167" s="23">
        <f t="shared" si="68"/>
        <v>0</v>
      </c>
      <c r="I167" s="23">
        <f t="shared" si="68"/>
        <v>0</v>
      </c>
      <c r="J167" s="23">
        <f t="shared" si="68"/>
        <v>0</v>
      </c>
      <c r="K167" s="23">
        <f t="shared" si="68"/>
        <v>0</v>
      </c>
      <c r="L167" s="23">
        <f t="shared" si="68"/>
        <v>1.694637846913807E-2</v>
      </c>
      <c r="M167" s="23">
        <f t="shared" si="68"/>
        <v>0</v>
      </c>
      <c r="N167" s="23">
        <f t="shared" si="68"/>
        <v>5.2484638095570076E-5</v>
      </c>
      <c r="O167" s="23">
        <f t="shared" si="68"/>
        <v>0</v>
      </c>
      <c r="P167" s="26"/>
      <c r="Q167" s="7">
        <f t="shared" si="69"/>
        <v>5.2484638095570076E-5</v>
      </c>
      <c r="R167" s="7">
        <f t="shared" si="69"/>
        <v>1.694637846913807E-2</v>
      </c>
      <c r="T167" s="8">
        <f t="shared" si="70"/>
        <v>1</v>
      </c>
    </row>
    <row r="168" spans="2:20" s="11" customFormat="1" x14ac:dyDescent="0.3">
      <c r="C168" s="12"/>
      <c r="D168" s="12"/>
      <c r="E168" s="14"/>
      <c r="F168" s="14"/>
      <c r="G168" s="14"/>
      <c r="H168" s="16"/>
      <c r="I168" s="14"/>
      <c r="J168" s="14"/>
      <c r="K168" s="16"/>
      <c r="L168" s="14"/>
      <c r="M168" s="16"/>
      <c r="N168" s="20"/>
      <c r="O168" s="20"/>
      <c r="P168" s="20"/>
    </row>
    <row r="169" spans="2:20" s="9" customFormat="1" ht="21" x14ac:dyDescent="0.4">
      <c r="B169" s="10" t="s">
        <v>18</v>
      </c>
    </row>
    <row r="170" spans="2:20" s="32" customFormat="1" x14ac:dyDescent="0.3">
      <c r="B170" s="43"/>
      <c r="C170" s="40"/>
      <c r="D170" s="40"/>
      <c r="E170" s="40"/>
      <c r="P170" s="58"/>
    </row>
    <row r="171" spans="2:20" s="32" customFormat="1" ht="15.75" customHeight="1" x14ac:dyDescent="0.3">
      <c r="B171" s="33" t="s">
        <v>21</v>
      </c>
      <c r="C171" s="93">
        <f>Inputs_Summary!E27</f>
        <v>547</v>
      </c>
      <c r="D171" s="93">
        <f>Inputs_Summary!F27</f>
        <v>0</v>
      </c>
      <c r="E171" s="93">
        <f>Inputs_Summary!G27</f>
        <v>0</v>
      </c>
      <c r="F171" s="93">
        <f>Inputs_Summary!H27</f>
        <v>0</v>
      </c>
      <c r="G171" s="93">
        <f>Inputs_Summary!I27</f>
        <v>0</v>
      </c>
      <c r="H171" s="93">
        <f>Inputs_Summary!J27</f>
        <v>0</v>
      </c>
      <c r="I171" s="93">
        <f>Inputs_Summary!K27</f>
        <v>0</v>
      </c>
      <c r="J171" s="93">
        <f>Inputs_Summary!L27</f>
        <v>0</v>
      </c>
      <c r="K171" s="93">
        <f>Inputs_Summary!M27</f>
        <v>0</v>
      </c>
      <c r="L171" s="93">
        <f>Inputs_Summary!N27</f>
        <v>0</v>
      </c>
      <c r="M171" s="93">
        <f>Inputs_Summary!O27</f>
        <v>0</v>
      </c>
      <c r="N171" s="93">
        <f>Inputs_Summary!P27</f>
        <v>0</v>
      </c>
      <c r="O171" s="93">
        <f>Inputs_Summary!Q27</f>
        <v>0</v>
      </c>
      <c r="P171" s="99"/>
    </row>
    <row r="172" spans="2:20" s="32" customFormat="1" x14ac:dyDescent="0.3">
      <c r="B172" s="33" t="s">
        <v>19</v>
      </c>
      <c r="C172" s="93">
        <f>Inputs_Summary!E28</f>
        <v>650</v>
      </c>
      <c r="D172" s="93">
        <f>Inputs_Summary!F28</f>
        <v>650</v>
      </c>
      <c r="E172" s="93">
        <f>Inputs_Summary!G28</f>
        <v>0</v>
      </c>
      <c r="F172" s="93">
        <f>Inputs_Summary!H28</f>
        <v>161</v>
      </c>
      <c r="G172" s="93">
        <f>Inputs_Summary!I28</f>
        <v>0</v>
      </c>
      <c r="H172" s="93">
        <f>Inputs_Summary!J28</f>
        <v>0</v>
      </c>
      <c r="I172" s="93">
        <f>Inputs_Summary!K28</f>
        <v>0</v>
      </c>
      <c r="J172" s="93">
        <f>Inputs_Summary!L28</f>
        <v>0</v>
      </c>
      <c r="K172" s="93">
        <f>Inputs_Summary!M28</f>
        <v>0</v>
      </c>
      <c r="L172" s="93">
        <f>Inputs_Summary!N28</f>
        <v>0</v>
      </c>
      <c r="M172" s="93">
        <f>Inputs_Summary!O28</f>
        <v>0</v>
      </c>
      <c r="N172" s="93">
        <f>Inputs_Summary!P28</f>
        <v>201</v>
      </c>
      <c r="O172" s="93">
        <f>Inputs_Summary!Q28</f>
        <v>0</v>
      </c>
      <c r="P172" s="99"/>
    </row>
    <row r="173" spans="2:20" s="32" customFormat="1" x14ac:dyDescent="0.3">
      <c r="B173" s="33" t="s">
        <v>20</v>
      </c>
      <c r="C173" s="94">
        <f>Inputs_Summary!E29</f>
        <v>0.26832454873646205</v>
      </c>
      <c r="D173" s="94">
        <f>Inputs_Summary!F29</f>
        <v>0.12287246155234656</v>
      </c>
      <c r="E173" s="94">
        <f>Inputs_Summary!G29</f>
        <v>0.95</v>
      </c>
      <c r="F173" s="94">
        <f>Inputs_Summary!H29</f>
        <v>2.5</v>
      </c>
      <c r="G173" s="94">
        <f>Inputs_Summary!I29</f>
        <v>0.3</v>
      </c>
      <c r="H173" s="94">
        <f>Inputs_Summary!J29</f>
        <v>0.93</v>
      </c>
      <c r="I173" s="94">
        <f>Inputs_Summary!K29</f>
        <v>3.3</v>
      </c>
      <c r="J173" s="94">
        <f>Inputs_Summary!L29</f>
        <v>1.7</v>
      </c>
      <c r="K173" s="94">
        <f>Inputs_Summary!M29</f>
        <v>1.107</v>
      </c>
      <c r="L173" s="94">
        <f>Inputs_Summary!N29</f>
        <v>1.65</v>
      </c>
      <c r="M173" s="94">
        <f>Inputs_Summary!O29</f>
        <v>1.51</v>
      </c>
      <c r="N173" s="94">
        <f>Inputs_Summary!P29</f>
        <v>0.05</v>
      </c>
      <c r="O173" s="94">
        <f>Inputs_Summary!Q29</f>
        <v>0</v>
      </c>
      <c r="P173" s="100"/>
    </row>
    <row r="174" spans="2:20" s="58" customFormat="1" x14ac:dyDescent="0.3">
      <c r="B174" s="67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</row>
    <row r="175" spans="2:20" ht="28.8" x14ac:dyDescent="0.3">
      <c r="B175" s="43" t="s">
        <v>45</v>
      </c>
      <c r="C175" s="43" t="s">
        <v>0</v>
      </c>
      <c r="D175" s="43" t="s">
        <v>1</v>
      </c>
      <c r="E175" s="43" t="s">
        <v>28</v>
      </c>
      <c r="F175" s="2" t="s">
        <v>29</v>
      </c>
      <c r="G175" s="2" t="s">
        <v>6</v>
      </c>
      <c r="H175" s="43" t="s">
        <v>2</v>
      </c>
      <c r="I175" s="43" t="s">
        <v>3</v>
      </c>
      <c r="J175" s="43" t="s">
        <v>4</v>
      </c>
      <c r="K175" s="43" t="s">
        <v>9</v>
      </c>
      <c r="L175" s="43" t="s">
        <v>8</v>
      </c>
      <c r="M175" s="43" t="s">
        <v>25</v>
      </c>
      <c r="N175" s="43" t="s">
        <v>7</v>
      </c>
      <c r="O175" s="43" t="s">
        <v>89</v>
      </c>
      <c r="P175" s="25"/>
      <c r="Q175" s="43" t="s">
        <v>5</v>
      </c>
      <c r="R175" s="43" t="s">
        <v>91</v>
      </c>
      <c r="T175" s="43" t="s">
        <v>10</v>
      </c>
    </row>
    <row r="176" spans="2:20" x14ac:dyDescent="0.3">
      <c r="B176" s="3">
        <v>2016</v>
      </c>
      <c r="C176" s="19">
        <f t="shared" ref="C176:O176" si="71">((C$172+C$171)*C4+C$173*C34*1000)/1000000</f>
        <v>95.4358045170775</v>
      </c>
      <c r="D176" s="19">
        <f t="shared" si="71"/>
        <v>3.0206166863931165</v>
      </c>
      <c r="E176" s="19">
        <f t="shared" si="71"/>
        <v>0.71827291818882821</v>
      </c>
      <c r="F176" s="19">
        <f t="shared" si="71"/>
        <v>5.6112431781664789</v>
      </c>
      <c r="G176" s="19">
        <f t="shared" si="71"/>
        <v>4.7397372806457199</v>
      </c>
      <c r="H176" s="19">
        <f t="shared" si="71"/>
        <v>3.7406611452973988</v>
      </c>
      <c r="I176" s="19">
        <f t="shared" si="71"/>
        <v>2.7313107545794142</v>
      </c>
      <c r="J176" s="19">
        <f t="shared" si="71"/>
        <v>4.4864465988215327</v>
      </c>
      <c r="K176" s="19">
        <f t="shared" si="71"/>
        <v>0</v>
      </c>
      <c r="L176" s="19">
        <f t="shared" si="71"/>
        <v>2.6131623050841757</v>
      </c>
      <c r="M176" s="19">
        <f t="shared" si="71"/>
        <v>0</v>
      </c>
      <c r="N176" s="19">
        <f t="shared" si="71"/>
        <v>0.46729964879989472</v>
      </c>
      <c r="O176" s="19">
        <f t="shared" si="71"/>
        <v>0</v>
      </c>
      <c r="P176" s="62"/>
      <c r="Q176" s="39">
        <f>G176+N176</f>
        <v>5.2070369294456142</v>
      </c>
      <c r="R176" s="5">
        <f>SUM(K176:L176)</f>
        <v>2.6131623050841757</v>
      </c>
      <c r="T176" s="5">
        <f>SUM(C176:O176)</f>
        <v>123.56455503305405</v>
      </c>
    </row>
    <row r="177" spans="2:23" x14ac:dyDescent="0.3">
      <c r="B177" s="3">
        <v>2030</v>
      </c>
      <c r="C177" s="19">
        <f t="shared" ref="C177:O177" si="72">((C$172+C$171)*C5+C$173*C35*1000)/1000000</f>
        <v>62.412341171976763</v>
      </c>
      <c r="D177" s="19">
        <f t="shared" si="72"/>
        <v>3.004197259204235</v>
      </c>
      <c r="E177" s="19">
        <f t="shared" si="72"/>
        <v>2.1143245715999419</v>
      </c>
      <c r="F177" s="19">
        <f t="shared" si="72"/>
        <v>1.0767878079559878</v>
      </c>
      <c r="G177" s="19">
        <f t="shared" si="72"/>
        <v>3.7579265855302548</v>
      </c>
      <c r="H177" s="19">
        <f t="shared" si="72"/>
        <v>3.8939414350757482</v>
      </c>
      <c r="I177" s="19">
        <f t="shared" si="72"/>
        <v>2.7769060958950464</v>
      </c>
      <c r="J177" s="19">
        <f t="shared" si="72"/>
        <v>4.4597774889592294</v>
      </c>
      <c r="K177" s="19">
        <f t="shared" si="72"/>
        <v>0</v>
      </c>
      <c r="L177" s="19">
        <f t="shared" si="72"/>
        <v>2.6220725438815045</v>
      </c>
      <c r="M177" s="19">
        <f t="shared" si="72"/>
        <v>0</v>
      </c>
      <c r="N177" s="19">
        <f t="shared" si="72"/>
        <v>0.44829093340273657</v>
      </c>
      <c r="O177" s="19">
        <f t="shared" si="72"/>
        <v>0</v>
      </c>
      <c r="P177" s="62"/>
      <c r="Q177" s="39">
        <f>G177+N177</f>
        <v>4.2062175189329913</v>
      </c>
      <c r="R177" s="5">
        <f>SUM(K177:L177)</f>
        <v>2.6220725438815045</v>
      </c>
      <c r="T177" s="5">
        <f t="shared" ref="T177:T179" si="73">SUM(C177:O177)</f>
        <v>86.566565893481425</v>
      </c>
    </row>
    <row r="178" spans="2:23" x14ac:dyDescent="0.3">
      <c r="B178" s="3">
        <v>2040</v>
      </c>
      <c r="C178" s="19">
        <f t="shared" ref="C178:O178" si="74">((C$172+C$171)*C6+C$173*C36*1000)/1000000</f>
        <v>19.647010738072016</v>
      </c>
      <c r="D178" s="19">
        <f t="shared" si="74"/>
        <v>2.9687056883525962</v>
      </c>
      <c r="E178" s="19">
        <f t="shared" si="74"/>
        <v>2.147507056599355</v>
      </c>
      <c r="F178" s="19">
        <f t="shared" si="74"/>
        <v>0.3526097140470329</v>
      </c>
      <c r="G178" s="19">
        <f t="shared" si="74"/>
        <v>3.7315376655577084</v>
      </c>
      <c r="H178" s="19">
        <f t="shared" si="74"/>
        <v>0</v>
      </c>
      <c r="I178" s="19">
        <f t="shared" si="74"/>
        <v>2.7870543310248963</v>
      </c>
      <c r="J178" s="19">
        <f t="shared" si="74"/>
        <v>1.3196656564695046</v>
      </c>
      <c r="K178" s="19">
        <f t="shared" si="74"/>
        <v>0</v>
      </c>
      <c r="L178" s="19">
        <f t="shared" si="74"/>
        <v>2.6826640677344273</v>
      </c>
      <c r="M178" s="19">
        <f t="shared" si="74"/>
        <v>0</v>
      </c>
      <c r="N178" s="19">
        <f t="shared" si="74"/>
        <v>0.4468250878834375</v>
      </c>
      <c r="O178" s="19">
        <f t="shared" si="74"/>
        <v>0</v>
      </c>
      <c r="P178" s="62"/>
      <c r="Q178" s="39">
        <f>G178+N178</f>
        <v>4.1783627534411458</v>
      </c>
      <c r="R178" s="5">
        <f>SUM(K178:L178)</f>
        <v>2.6826640677344273</v>
      </c>
      <c r="T178" s="5">
        <f t="shared" si="73"/>
        <v>36.083580005740984</v>
      </c>
    </row>
    <row r="179" spans="2:23" x14ac:dyDescent="0.3">
      <c r="B179" s="3">
        <v>2050</v>
      </c>
      <c r="C179" s="19">
        <f t="shared" ref="C179:O179" si="75">((C$172+C$171)*C7+C$173*C37*1000)/1000000</f>
        <v>0.80198999999999998</v>
      </c>
      <c r="D179" s="19">
        <f t="shared" si="75"/>
        <v>0</v>
      </c>
      <c r="E179" s="19">
        <f t="shared" si="75"/>
        <v>2.1423816313079596</v>
      </c>
      <c r="F179" s="19">
        <f t="shared" si="75"/>
        <v>0</v>
      </c>
      <c r="G179" s="19">
        <f t="shared" si="75"/>
        <v>3.5799306966630917</v>
      </c>
      <c r="H179" s="19">
        <f t="shared" si="75"/>
        <v>0</v>
      </c>
      <c r="I179" s="19">
        <f t="shared" si="75"/>
        <v>0</v>
      </c>
      <c r="J179" s="19">
        <f t="shared" si="75"/>
        <v>0</v>
      </c>
      <c r="K179" s="19">
        <f t="shared" si="75"/>
        <v>0</v>
      </c>
      <c r="L179" s="19">
        <f t="shared" si="75"/>
        <v>2.6496860409635827</v>
      </c>
      <c r="M179" s="19">
        <f t="shared" si="75"/>
        <v>0</v>
      </c>
      <c r="N179" s="19">
        <f t="shared" si="75"/>
        <v>0.44707746465131004</v>
      </c>
      <c r="O179" s="19">
        <f t="shared" si="75"/>
        <v>0</v>
      </c>
      <c r="P179" s="62"/>
      <c r="Q179" s="39">
        <f>G179+N179</f>
        <v>4.0270081613144022</v>
      </c>
      <c r="R179" s="5">
        <f>SUM(K179:L179)</f>
        <v>2.6496860409635827</v>
      </c>
      <c r="T179" s="5">
        <f t="shared" si="73"/>
        <v>9.6210658335859431</v>
      </c>
    </row>
    <row r="180" spans="2:23" x14ac:dyDescent="0.3">
      <c r="B180" s="43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69"/>
      <c r="Q180" s="5"/>
      <c r="R180" s="5"/>
      <c r="S180" s="5"/>
      <c r="T180" s="5"/>
    </row>
    <row r="181" spans="2:23" s="32" customFormat="1" ht="15.75" customHeight="1" x14ac:dyDescent="0.3">
      <c r="B181" s="33" t="s">
        <v>21</v>
      </c>
      <c r="C181" s="93">
        <f>Inputs_Summary!E32</f>
        <v>4602</v>
      </c>
      <c r="D181" s="93">
        <f>Inputs_Summary!F32</f>
        <v>6454.9045250562804</v>
      </c>
      <c r="E181" s="93">
        <f>Inputs_Summary!G32</f>
        <v>901.10972649676557</v>
      </c>
      <c r="F181" s="93">
        <f>Inputs_Summary!H32</f>
        <v>794.35459770843181</v>
      </c>
      <c r="G181" s="93">
        <f>Inputs_Summary!I32</f>
        <v>0</v>
      </c>
      <c r="H181" s="93">
        <f>Inputs_Summary!J32</f>
        <v>0</v>
      </c>
      <c r="I181" s="93">
        <f>Inputs_Summary!K32</f>
        <v>0</v>
      </c>
      <c r="J181" s="93">
        <f>Inputs_Summary!L32</f>
        <v>0</v>
      </c>
      <c r="K181" s="93">
        <f>Inputs_Summary!M32</f>
        <v>2810</v>
      </c>
      <c r="L181" s="93">
        <f>Inputs_Summary!N32</f>
        <v>0</v>
      </c>
      <c r="M181" s="93">
        <f>Inputs_Summary!O32</f>
        <v>0</v>
      </c>
      <c r="N181" s="93">
        <f>Inputs_Summary!P32</f>
        <v>2328.2524449730454</v>
      </c>
      <c r="O181" s="93">
        <f>Inputs_Summary!Q32</f>
        <v>0</v>
      </c>
      <c r="P181" s="99"/>
    </row>
    <row r="182" spans="2:23" s="32" customFormat="1" x14ac:dyDescent="0.3">
      <c r="B182" s="33" t="s">
        <v>19</v>
      </c>
      <c r="C182" s="93">
        <f>Inputs_Summary!E33</f>
        <v>924</v>
      </c>
      <c r="D182" s="93">
        <f>Inputs_Summary!F33</f>
        <v>968.06859205776175</v>
      </c>
      <c r="E182" s="93">
        <f>Inputs_Summary!G33</f>
        <v>165.17328519855596</v>
      </c>
      <c r="F182" s="93">
        <f>Inputs_Summary!H33</f>
        <v>160.79783393501805</v>
      </c>
      <c r="G182" s="93">
        <f>Inputs_Summary!I33</f>
        <v>0</v>
      </c>
      <c r="H182" s="93">
        <f>Inputs_Summary!J33</f>
        <v>0</v>
      </c>
      <c r="I182" s="93">
        <f>Inputs_Summary!K33</f>
        <v>0</v>
      </c>
      <c r="J182" s="93">
        <f>Inputs_Summary!L33</f>
        <v>0</v>
      </c>
      <c r="K182" s="93">
        <f>Inputs_Summary!M33</f>
        <v>2373</v>
      </c>
      <c r="L182" s="93">
        <f>Inputs_Summary!N33</f>
        <v>0</v>
      </c>
      <c r="M182" s="93">
        <f>Inputs_Summary!O33</f>
        <v>0</v>
      </c>
      <c r="N182" s="93">
        <f>Inputs_Summary!P33</f>
        <v>201.27075812274367</v>
      </c>
      <c r="O182" s="93">
        <f>Inputs_Summary!Q33</f>
        <v>0</v>
      </c>
      <c r="P182" s="99"/>
    </row>
    <row r="183" spans="2:23" s="32" customFormat="1" x14ac:dyDescent="0.3">
      <c r="B183" s="33" t="s">
        <v>20</v>
      </c>
      <c r="C183" s="93">
        <f>Inputs_Summary!E34</f>
        <v>0.36168632057761729</v>
      </c>
      <c r="D183" s="93">
        <f>Inputs_Summary!F34</f>
        <v>0.12287246155234656</v>
      </c>
      <c r="E183" s="93">
        <f>Inputs_Summary!G34</f>
        <v>1.1311272563176895</v>
      </c>
      <c r="F183" s="93">
        <f>Inputs_Summary!H34</f>
        <v>1.730256498194946</v>
      </c>
      <c r="G183" s="93">
        <f>Inputs_Summary!I34</f>
        <v>1.24</v>
      </c>
      <c r="H183" s="93">
        <f>Inputs_Summary!J34</f>
        <v>0.70507456548359604</v>
      </c>
      <c r="I183" s="93">
        <f>Inputs_Summary!K34</f>
        <v>2.2907692307692309</v>
      </c>
      <c r="J183" s="93">
        <f>Inputs_Summary!L34</f>
        <v>0.79657730380457292</v>
      </c>
      <c r="K183" s="93">
        <f>Inputs_Summary!M34</f>
        <v>0.09</v>
      </c>
      <c r="L183" s="93">
        <f>Inputs_Summary!N34</f>
        <v>1.61</v>
      </c>
      <c r="M183" s="93">
        <f>Inputs_Summary!O34</f>
        <v>1.51</v>
      </c>
      <c r="N183" s="93">
        <f>Inputs_Summary!P34</f>
        <v>0</v>
      </c>
      <c r="O183" s="93">
        <f>Inputs_Summary!Q34</f>
        <v>0</v>
      </c>
      <c r="P183" s="99"/>
    </row>
    <row r="184" spans="2:23" s="58" customFormat="1" x14ac:dyDescent="0.3">
      <c r="B184" s="67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</row>
    <row r="185" spans="2:23" ht="28.8" x14ac:dyDescent="0.3">
      <c r="B185" s="43" t="s">
        <v>46</v>
      </c>
      <c r="C185" s="43" t="s">
        <v>0</v>
      </c>
      <c r="D185" s="43" t="s">
        <v>1</v>
      </c>
      <c r="E185" s="43" t="s">
        <v>28</v>
      </c>
      <c r="F185" s="2" t="s">
        <v>29</v>
      </c>
      <c r="G185" s="2" t="s">
        <v>6</v>
      </c>
      <c r="H185" s="43" t="s">
        <v>2</v>
      </c>
      <c r="I185" s="43" t="s">
        <v>3</v>
      </c>
      <c r="J185" s="43" t="s">
        <v>4</v>
      </c>
      <c r="K185" s="43" t="s">
        <v>9</v>
      </c>
      <c r="L185" s="43" t="s">
        <v>8</v>
      </c>
      <c r="M185" s="43" t="s">
        <v>25</v>
      </c>
      <c r="N185" s="43" t="s">
        <v>7</v>
      </c>
      <c r="O185" s="43" t="s">
        <v>89</v>
      </c>
      <c r="P185" s="25"/>
      <c r="Q185" s="43" t="s">
        <v>5</v>
      </c>
      <c r="R185" s="43" t="s">
        <v>91</v>
      </c>
      <c r="T185" s="43" t="s">
        <v>10</v>
      </c>
    </row>
    <row r="186" spans="2:23" x14ac:dyDescent="0.3">
      <c r="B186" s="3">
        <v>2016</v>
      </c>
      <c r="C186" s="19">
        <f t="shared" ref="C186:O186" si="76">((C$182+C$181)*C10+C$183*C40*1000)/1000000</f>
        <v>5.8476522671001927</v>
      </c>
      <c r="D186" s="19">
        <f t="shared" si="76"/>
        <v>0</v>
      </c>
      <c r="E186" s="19">
        <f t="shared" si="76"/>
        <v>0</v>
      </c>
      <c r="F186" s="19">
        <f t="shared" si="76"/>
        <v>0</v>
      </c>
      <c r="G186" s="19">
        <f t="shared" si="76"/>
        <v>0</v>
      </c>
      <c r="H186" s="19">
        <f t="shared" si="76"/>
        <v>0.33440904252740183</v>
      </c>
      <c r="I186" s="19">
        <f t="shared" si="76"/>
        <v>0.19179026548387781</v>
      </c>
      <c r="J186" s="19">
        <f t="shared" si="76"/>
        <v>0</v>
      </c>
      <c r="K186" s="19">
        <f t="shared" si="76"/>
        <v>0</v>
      </c>
      <c r="L186" s="19">
        <f t="shared" si="76"/>
        <v>6.1986881863953201E-2</v>
      </c>
      <c r="M186" s="19">
        <f t="shared" si="76"/>
        <v>0</v>
      </c>
      <c r="N186" s="19">
        <f t="shared" si="76"/>
        <v>0</v>
      </c>
      <c r="O186" s="19">
        <f t="shared" si="76"/>
        <v>0</v>
      </c>
      <c r="P186" s="62"/>
      <c r="Q186" s="39">
        <f>G186+N186</f>
        <v>0</v>
      </c>
      <c r="R186" s="5">
        <f>SUM(K186:L186)</f>
        <v>6.1986881863953201E-2</v>
      </c>
      <c r="T186" s="5">
        <f>SUM(C186:O186)</f>
        <v>6.4358384569754259</v>
      </c>
    </row>
    <row r="187" spans="2:23" x14ac:dyDescent="0.3">
      <c r="B187" s="3">
        <v>2030</v>
      </c>
      <c r="C187" s="19">
        <f t="shared" ref="C187:O187" si="77">((C$182+C$181)*C11+C$183*C41*1000)/1000000</f>
        <v>77.113261101438582</v>
      </c>
      <c r="D187" s="19">
        <f t="shared" si="77"/>
        <v>0</v>
      </c>
      <c r="E187" s="19">
        <f t="shared" si="77"/>
        <v>0</v>
      </c>
      <c r="F187" s="19">
        <f t="shared" si="77"/>
        <v>0</v>
      </c>
      <c r="G187" s="19">
        <f t="shared" si="77"/>
        <v>0.25801512066762566</v>
      </c>
      <c r="H187" s="19">
        <f t="shared" si="77"/>
        <v>6.3300875704297725</v>
      </c>
      <c r="I187" s="19">
        <f t="shared" si="77"/>
        <v>9.6499418917190383</v>
      </c>
      <c r="J187" s="19">
        <f t="shared" si="77"/>
        <v>1.8825532411799659</v>
      </c>
      <c r="K187" s="19">
        <f t="shared" si="77"/>
        <v>0.30664489492137115</v>
      </c>
      <c r="L187" s="19">
        <f t="shared" si="77"/>
        <v>1.6454583845802782</v>
      </c>
      <c r="M187" s="19">
        <f t="shared" si="77"/>
        <v>0</v>
      </c>
      <c r="N187" s="19">
        <f t="shared" si="77"/>
        <v>3.3693249065235911</v>
      </c>
      <c r="O187" s="19">
        <f t="shared" si="77"/>
        <v>0</v>
      </c>
      <c r="P187" s="62"/>
      <c r="Q187" s="39">
        <f>G187+N187</f>
        <v>3.6273400271912166</v>
      </c>
      <c r="R187" s="5">
        <f>SUM(K187:L187)</f>
        <v>1.9521032795016493</v>
      </c>
      <c r="T187" s="5">
        <f t="shared" ref="T187:T189" si="78">SUM(C187:O187)</f>
        <v>100.55528711146022</v>
      </c>
    </row>
    <row r="188" spans="2:23" x14ac:dyDescent="0.3">
      <c r="B188" s="3">
        <v>2040</v>
      </c>
      <c r="C188" s="19">
        <f t="shared" ref="C188:O188" si="79">((C$182+C$181)*C12+C$183*C42*1000)/1000000</f>
        <v>76.941113004588061</v>
      </c>
      <c r="D188" s="19">
        <f t="shared" si="79"/>
        <v>0</v>
      </c>
      <c r="E188" s="19">
        <f t="shared" si="79"/>
        <v>0</v>
      </c>
      <c r="F188" s="19">
        <f t="shared" si="79"/>
        <v>0</v>
      </c>
      <c r="G188" s="19">
        <f t="shared" si="79"/>
        <v>0.24531460814425887</v>
      </c>
      <c r="H188" s="19">
        <f t="shared" si="79"/>
        <v>0</v>
      </c>
      <c r="I188" s="19">
        <f t="shared" si="79"/>
        <v>9.6757827532196785</v>
      </c>
      <c r="J188" s="19">
        <f t="shared" si="79"/>
        <v>1.8934841997422165</v>
      </c>
      <c r="K188" s="19">
        <f t="shared" si="79"/>
        <v>0.30696508138069034</v>
      </c>
      <c r="L188" s="19">
        <f t="shared" si="79"/>
        <v>1.6507720894613325</v>
      </c>
      <c r="M188" s="19">
        <f t="shared" si="79"/>
        <v>0</v>
      </c>
      <c r="N188" s="19">
        <f t="shared" si="79"/>
        <v>3.3693249065235911</v>
      </c>
      <c r="O188" s="19">
        <f t="shared" si="79"/>
        <v>0</v>
      </c>
      <c r="P188" s="62"/>
      <c r="Q188" s="39">
        <f>G188+N188</f>
        <v>3.6146395146678501</v>
      </c>
      <c r="R188" s="5">
        <f>SUM(K188:L188)</f>
        <v>1.9577371708420228</v>
      </c>
      <c r="T188" s="5">
        <f t="shared" si="78"/>
        <v>94.082756643059824</v>
      </c>
    </row>
    <row r="189" spans="2:23" x14ac:dyDescent="0.3">
      <c r="B189" s="3">
        <v>2050</v>
      </c>
      <c r="C189" s="19">
        <f t="shared" ref="C189:O189" si="80">((C$182+C$181)*C13+C$183*C43*1000)/1000000</f>
        <v>76.0944226674753</v>
      </c>
      <c r="D189" s="19">
        <f t="shared" si="80"/>
        <v>0</v>
      </c>
      <c r="E189" s="19">
        <f t="shared" si="80"/>
        <v>0</v>
      </c>
      <c r="F189" s="19">
        <f t="shared" si="80"/>
        <v>0</v>
      </c>
      <c r="G189" s="19">
        <f t="shared" si="80"/>
        <v>0.24354682310688816</v>
      </c>
      <c r="H189" s="19">
        <f t="shared" si="80"/>
        <v>0</v>
      </c>
      <c r="I189" s="19">
        <f t="shared" si="80"/>
        <v>0</v>
      </c>
      <c r="J189" s="19">
        <f t="shared" si="80"/>
        <v>0</v>
      </c>
      <c r="K189" s="19">
        <f t="shared" si="80"/>
        <v>0</v>
      </c>
      <c r="L189" s="19">
        <f t="shared" si="80"/>
        <v>0</v>
      </c>
      <c r="M189" s="19">
        <f t="shared" si="80"/>
        <v>0</v>
      </c>
      <c r="N189" s="19">
        <f t="shared" si="80"/>
        <v>3.3693249065235911</v>
      </c>
      <c r="O189" s="19">
        <f t="shared" si="80"/>
        <v>0</v>
      </c>
      <c r="P189" s="62"/>
      <c r="Q189" s="39">
        <f>G189+N189</f>
        <v>3.6128717296304793</v>
      </c>
      <c r="R189" s="5">
        <f>SUM(K189:L189)</f>
        <v>0</v>
      </c>
      <c r="T189" s="5">
        <f t="shared" si="78"/>
        <v>79.70729439710577</v>
      </c>
    </row>
    <row r="190" spans="2:23" x14ac:dyDescent="0.3"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69"/>
      <c r="Q190" s="5"/>
      <c r="R190" s="5"/>
      <c r="S190" s="5"/>
      <c r="T190" s="5"/>
    </row>
    <row r="191" spans="2:23" x14ac:dyDescent="0.3">
      <c r="Q191" s="5"/>
      <c r="R191" s="5"/>
      <c r="S191" s="5"/>
      <c r="T191" s="5"/>
      <c r="W191" s="5"/>
    </row>
    <row r="192" spans="2:23" x14ac:dyDescent="0.3">
      <c r="B192" s="33" t="s">
        <v>21</v>
      </c>
      <c r="C192" s="95">
        <f>Inputs_Summary!E37</f>
        <v>3559.4976938012715</v>
      </c>
      <c r="D192" s="95">
        <f>Inputs_Summary!F37</f>
        <v>6454.9045250562804</v>
      </c>
      <c r="E192" s="95">
        <f>Inputs_Summary!G37</f>
        <v>901.10972649676557</v>
      </c>
      <c r="F192" s="95">
        <f>Inputs_Summary!H37</f>
        <v>794.35459770843181</v>
      </c>
      <c r="G192" s="95">
        <f>Inputs_Summary!I37</f>
        <v>5564</v>
      </c>
      <c r="H192" s="95">
        <f>Inputs_Summary!J37</f>
        <v>1911</v>
      </c>
      <c r="I192" s="95">
        <f>Inputs_Summary!K37</f>
        <v>10206</v>
      </c>
      <c r="J192" s="95">
        <f>Inputs_Summary!L37</f>
        <v>1073</v>
      </c>
      <c r="K192" s="95">
        <f>Inputs_Summary!M37</f>
        <v>1154.0789960129314</v>
      </c>
      <c r="L192" s="95">
        <f>Inputs_Summary!N37</f>
        <v>4395</v>
      </c>
      <c r="M192" s="95">
        <f>Inputs_Summary!O37</f>
        <v>0</v>
      </c>
      <c r="N192" s="95">
        <f>Inputs_Summary!P37</f>
        <v>2328.2524449730454</v>
      </c>
      <c r="O192" s="95">
        <f>Inputs_Summary!Q37</f>
        <v>2512</v>
      </c>
      <c r="P192" s="101"/>
      <c r="Q192" s="5"/>
      <c r="R192" s="5"/>
      <c r="S192" s="5"/>
      <c r="T192" s="5"/>
    </row>
    <row r="193" spans="1:20" x14ac:dyDescent="0.3">
      <c r="B193" s="3">
        <v>2030</v>
      </c>
      <c r="C193" s="95">
        <f>Inputs_Summary!E38</f>
        <v>3559.4976938012715</v>
      </c>
      <c r="D193" s="95">
        <f>Inputs_Summary!F38</f>
        <v>6281</v>
      </c>
      <c r="E193" s="95">
        <f>Inputs_Summary!G38</f>
        <v>901.10972649676557</v>
      </c>
      <c r="F193" s="95">
        <f>Inputs_Summary!H38</f>
        <v>794.35459770843181</v>
      </c>
      <c r="G193" s="95">
        <f>Inputs_Summary!I38</f>
        <v>5564</v>
      </c>
      <c r="H193" s="95">
        <f>Inputs_Summary!J38</f>
        <v>1911</v>
      </c>
      <c r="I193" s="95">
        <f>Inputs_Summary!K38</f>
        <v>8246</v>
      </c>
      <c r="J193" s="95">
        <f>Inputs_Summary!L38</f>
        <v>967</v>
      </c>
      <c r="K193" s="95">
        <f>Inputs_Summary!M38</f>
        <v>1154.0789960129314</v>
      </c>
      <c r="L193" s="95">
        <f>Inputs_Summary!N38</f>
        <v>4395</v>
      </c>
      <c r="M193" s="95">
        <f>Inputs_Summary!O38</f>
        <v>0</v>
      </c>
      <c r="N193" s="95">
        <f>Inputs_Summary!P38</f>
        <v>2328.2524449730454</v>
      </c>
      <c r="O193" s="95">
        <f>Inputs_Summary!Q38</f>
        <v>2512</v>
      </c>
      <c r="P193" s="101"/>
      <c r="Q193" s="5"/>
      <c r="R193" s="5"/>
      <c r="S193" s="5"/>
      <c r="T193" s="5"/>
    </row>
    <row r="194" spans="1:20" x14ac:dyDescent="0.3">
      <c r="B194" s="3">
        <v>2040</v>
      </c>
      <c r="C194" s="95">
        <f>Inputs_Summary!E39</f>
        <v>3559.4976938012715</v>
      </c>
      <c r="D194" s="95">
        <f>Inputs_Summary!F39</f>
        <v>6281</v>
      </c>
      <c r="E194" s="95">
        <f>Inputs_Summary!G39</f>
        <v>901.10972649676557</v>
      </c>
      <c r="F194" s="95">
        <f>Inputs_Summary!H39</f>
        <v>794.35459770843181</v>
      </c>
      <c r="G194" s="95">
        <f>Inputs_Summary!I39</f>
        <v>5564</v>
      </c>
      <c r="H194" s="95">
        <f>Inputs_Summary!J39</f>
        <v>1911</v>
      </c>
      <c r="I194" s="95">
        <f>Inputs_Summary!K39</f>
        <v>7196</v>
      </c>
      <c r="J194" s="95">
        <f>Inputs_Summary!L39</f>
        <v>911</v>
      </c>
      <c r="K194" s="95">
        <f>Inputs_Summary!M39</f>
        <v>1154.0789960129314</v>
      </c>
      <c r="L194" s="95">
        <f>Inputs_Summary!N39</f>
        <v>4395</v>
      </c>
      <c r="M194" s="95">
        <f>Inputs_Summary!O39</f>
        <v>0</v>
      </c>
      <c r="N194" s="95">
        <f>Inputs_Summary!P39</f>
        <v>2328.2524449730454</v>
      </c>
      <c r="O194" s="95">
        <f>Inputs_Summary!Q39</f>
        <v>2512</v>
      </c>
      <c r="P194" s="101"/>
      <c r="Q194" s="5"/>
      <c r="R194" s="5"/>
      <c r="S194" s="5"/>
      <c r="T194" s="5"/>
    </row>
    <row r="195" spans="1:20" x14ac:dyDescent="0.3">
      <c r="B195" s="3">
        <v>2050</v>
      </c>
      <c r="C195" s="95">
        <f>Inputs_Summary!E40</f>
        <v>3559.4976938012715</v>
      </c>
      <c r="D195" s="95">
        <f>Inputs_Summary!F40</f>
        <v>6281</v>
      </c>
      <c r="E195" s="95">
        <f>Inputs_Summary!G40</f>
        <v>901.10972649676557</v>
      </c>
      <c r="F195" s="95">
        <f>Inputs_Summary!H40</f>
        <v>794.35459770843181</v>
      </c>
      <c r="G195" s="95">
        <f>Inputs_Summary!I40</f>
        <v>5564</v>
      </c>
      <c r="H195" s="95">
        <f>Inputs_Summary!J40</f>
        <v>1911</v>
      </c>
      <c r="I195" s="95">
        <f>Inputs_Summary!K40</f>
        <v>6146</v>
      </c>
      <c r="J195" s="95">
        <f>Inputs_Summary!L40</f>
        <v>854</v>
      </c>
      <c r="K195" s="95">
        <f>Inputs_Summary!M40</f>
        <v>1154.0789960129314</v>
      </c>
      <c r="L195" s="95">
        <f>Inputs_Summary!N40</f>
        <v>4395</v>
      </c>
      <c r="M195" s="95">
        <f>Inputs_Summary!O40</f>
        <v>0</v>
      </c>
      <c r="N195" s="95">
        <f>Inputs_Summary!P40</f>
        <v>2328.2524449730454</v>
      </c>
      <c r="O195" s="95">
        <f>Inputs_Summary!Q40</f>
        <v>2512</v>
      </c>
      <c r="P195" s="101"/>
      <c r="Q195" s="5"/>
      <c r="R195" s="5"/>
      <c r="S195" s="5"/>
      <c r="T195" s="5"/>
    </row>
    <row r="196" spans="1:20" s="32" customFormat="1" x14ac:dyDescent="0.3">
      <c r="B196" s="33" t="s">
        <v>19</v>
      </c>
      <c r="C196" s="95">
        <f>Inputs_Summary!E41</f>
        <v>924</v>
      </c>
      <c r="D196" s="95">
        <f>Inputs_Summary!F41</f>
        <v>968.06859205776175</v>
      </c>
      <c r="E196" s="95">
        <f>Inputs_Summary!G41</f>
        <v>165.17328519855596</v>
      </c>
      <c r="F196" s="95">
        <f>Inputs_Summary!H41</f>
        <v>160.79783393501805</v>
      </c>
      <c r="G196" s="95">
        <f>Inputs_Summary!I41</f>
        <v>907.42483754512637</v>
      </c>
      <c r="H196" s="95">
        <f>Inputs_Summary!J41</f>
        <v>0</v>
      </c>
      <c r="I196" s="95">
        <f>Inputs_Summary!K41</f>
        <v>0</v>
      </c>
      <c r="J196" s="95">
        <f>Inputs_Summary!L41</f>
        <v>0</v>
      </c>
      <c r="K196" s="95">
        <f>Inputs_Summary!M41</f>
        <v>422</v>
      </c>
      <c r="L196" s="95">
        <f>Inputs_Summary!N41</f>
        <v>1655.0144404332129</v>
      </c>
      <c r="M196" s="95">
        <f>Inputs_Summary!O41</f>
        <v>0</v>
      </c>
      <c r="N196" s="95">
        <f>Inputs_Summary!P41</f>
        <v>201.27075812274367</v>
      </c>
      <c r="O196" s="95">
        <f>Inputs_Summary!Q41</f>
        <v>618</v>
      </c>
      <c r="P196" s="101"/>
    </row>
    <row r="197" spans="1:20" x14ac:dyDescent="0.3">
      <c r="B197" s="3">
        <v>2030</v>
      </c>
      <c r="C197" s="95">
        <f>Inputs_Summary!E42</f>
        <v>924</v>
      </c>
      <c r="D197" s="95">
        <f>Inputs_Summary!F42</f>
        <v>968.06859205776175</v>
      </c>
      <c r="E197" s="95">
        <f>Inputs_Summary!G42</f>
        <v>165.17328519855596</v>
      </c>
      <c r="F197" s="95">
        <f>Inputs_Summary!H42</f>
        <v>160.79783393501805</v>
      </c>
      <c r="G197" s="95">
        <f>Inputs_Summary!I42</f>
        <v>907.42483754512637</v>
      </c>
      <c r="H197" s="95">
        <f>Inputs_Summary!J42</f>
        <v>0</v>
      </c>
      <c r="I197" s="95">
        <f>Inputs_Summary!K42</f>
        <v>0</v>
      </c>
      <c r="J197" s="95">
        <f>Inputs_Summary!L42</f>
        <v>0</v>
      </c>
      <c r="K197" s="95">
        <f>Inputs_Summary!M42</f>
        <v>422</v>
      </c>
      <c r="L197" s="95">
        <f>Inputs_Summary!N42</f>
        <v>1655.0144404332129</v>
      </c>
      <c r="M197" s="95">
        <f>Inputs_Summary!O42</f>
        <v>0</v>
      </c>
      <c r="N197" s="95">
        <f>Inputs_Summary!P42</f>
        <v>201.27075812274367</v>
      </c>
      <c r="O197" s="95">
        <f>Inputs_Summary!Q42</f>
        <v>618</v>
      </c>
      <c r="P197" s="101"/>
      <c r="Q197" s="5"/>
      <c r="R197" s="5"/>
      <c r="S197" s="5"/>
      <c r="T197" s="5"/>
    </row>
    <row r="198" spans="1:20" x14ac:dyDescent="0.3">
      <c r="B198" s="3">
        <v>2040</v>
      </c>
      <c r="C198" s="95">
        <f>Inputs_Summary!E43</f>
        <v>924</v>
      </c>
      <c r="D198" s="95">
        <f>Inputs_Summary!F43</f>
        <v>968.06859205776175</v>
      </c>
      <c r="E198" s="95">
        <f>Inputs_Summary!G43</f>
        <v>165.17328519855596</v>
      </c>
      <c r="F198" s="95">
        <f>Inputs_Summary!H43</f>
        <v>160.79783393501805</v>
      </c>
      <c r="G198" s="95">
        <f>Inputs_Summary!I43</f>
        <v>907.42483754512637</v>
      </c>
      <c r="H198" s="95">
        <f>Inputs_Summary!J43</f>
        <v>0</v>
      </c>
      <c r="I198" s="95">
        <f>Inputs_Summary!K43</f>
        <v>0</v>
      </c>
      <c r="J198" s="95">
        <f>Inputs_Summary!L43</f>
        <v>0</v>
      </c>
      <c r="K198" s="95">
        <f>Inputs_Summary!M43</f>
        <v>422</v>
      </c>
      <c r="L198" s="95">
        <f>Inputs_Summary!N43</f>
        <v>1655.0144404332129</v>
      </c>
      <c r="M198" s="95">
        <f>Inputs_Summary!O43</f>
        <v>0</v>
      </c>
      <c r="N198" s="95">
        <f>Inputs_Summary!P43</f>
        <v>201.27075812274367</v>
      </c>
      <c r="O198" s="95">
        <f>Inputs_Summary!Q43</f>
        <v>618</v>
      </c>
      <c r="P198" s="101"/>
      <c r="Q198" s="5"/>
      <c r="R198" s="5"/>
      <c r="S198" s="5"/>
      <c r="T198" s="5"/>
    </row>
    <row r="199" spans="1:20" x14ac:dyDescent="0.3">
      <c r="B199" s="3">
        <v>2050</v>
      </c>
      <c r="C199" s="95">
        <f>Inputs_Summary!E44</f>
        <v>924</v>
      </c>
      <c r="D199" s="95">
        <f>Inputs_Summary!F44</f>
        <v>968.06859205776175</v>
      </c>
      <c r="E199" s="95">
        <f>Inputs_Summary!G44</f>
        <v>165.17328519855596</v>
      </c>
      <c r="F199" s="95">
        <f>Inputs_Summary!H44</f>
        <v>160.79783393501805</v>
      </c>
      <c r="G199" s="95">
        <f>Inputs_Summary!I44</f>
        <v>907.42483754512637</v>
      </c>
      <c r="H199" s="95">
        <f>Inputs_Summary!J44</f>
        <v>0</v>
      </c>
      <c r="I199" s="95">
        <f>Inputs_Summary!K44</f>
        <v>0</v>
      </c>
      <c r="J199" s="95">
        <f>Inputs_Summary!L44</f>
        <v>0</v>
      </c>
      <c r="K199" s="95">
        <f>Inputs_Summary!M44</f>
        <v>422</v>
      </c>
      <c r="L199" s="95">
        <f>Inputs_Summary!N44</f>
        <v>1655.0144404332129</v>
      </c>
      <c r="M199" s="95">
        <f>Inputs_Summary!O44</f>
        <v>0</v>
      </c>
      <c r="N199" s="95">
        <f>Inputs_Summary!P44</f>
        <v>201.27075812274367</v>
      </c>
      <c r="O199" s="95">
        <f>Inputs_Summary!Q44</f>
        <v>618</v>
      </c>
      <c r="P199" s="101"/>
      <c r="Q199" s="5"/>
      <c r="R199" s="5"/>
      <c r="S199" s="5"/>
      <c r="T199" s="5"/>
    </row>
    <row r="200" spans="1:20" s="32" customFormat="1" x14ac:dyDescent="0.3">
      <c r="B200" s="33" t="s">
        <v>20</v>
      </c>
      <c r="C200" s="94">
        <f>Inputs_Summary!E45</f>
        <v>0.36168632057761729</v>
      </c>
      <c r="D200" s="94">
        <f>Inputs_Summary!F45</f>
        <v>0.12287246155234656</v>
      </c>
      <c r="E200" s="94">
        <f>Inputs_Summary!G45</f>
        <v>1.1311272563176895</v>
      </c>
      <c r="F200" s="94">
        <f>Inputs_Summary!H45</f>
        <v>1.7302564981949458</v>
      </c>
      <c r="G200" s="94">
        <f>Inputs_Summary!I45</f>
        <v>0</v>
      </c>
      <c r="H200" s="94">
        <f>Inputs_Summary!J45</f>
        <v>0</v>
      </c>
      <c r="I200" s="94">
        <f>Inputs_Summary!K45</f>
        <v>0</v>
      </c>
      <c r="J200" s="94">
        <f>Inputs_Summary!L45</f>
        <v>0</v>
      </c>
      <c r="K200" s="94">
        <f>Inputs_Summary!M45</f>
        <v>1.42</v>
      </c>
      <c r="L200" s="94">
        <f>Inputs_Summary!N45</f>
        <v>0.46</v>
      </c>
      <c r="M200" s="94">
        <f>Inputs_Summary!O45</f>
        <v>1.51</v>
      </c>
      <c r="N200" s="94">
        <f>Inputs_Summary!P45</f>
        <v>0</v>
      </c>
      <c r="O200" s="94">
        <f>Inputs_Summary!Q45</f>
        <v>3.2000000000000001E-2</v>
      </c>
      <c r="P200" s="100"/>
    </row>
    <row r="201" spans="1:20" x14ac:dyDescent="0.3">
      <c r="B201" s="3">
        <v>2030</v>
      </c>
      <c r="C201" s="94">
        <f>Inputs_Summary!E46</f>
        <v>0.36168632057761729</v>
      </c>
      <c r="D201" s="94">
        <f>Inputs_Summary!F46</f>
        <v>0.12287246155234656</v>
      </c>
      <c r="E201" s="94">
        <f>Inputs_Summary!G46</f>
        <v>1.1311272563176895</v>
      </c>
      <c r="F201" s="94">
        <f>Inputs_Summary!H46</f>
        <v>1.7302564981949458</v>
      </c>
      <c r="G201" s="94">
        <f>Inputs_Summary!I46</f>
        <v>0</v>
      </c>
      <c r="H201" s="94">
        <f>Inputs_Summary!J46</f>
        <v>0</v>
      </c>
      <c r="I201" s="94">
        <f>Inputs_Summary!K46</f>
        <v>0</v>
      </c>
      <c r="J201" s="94">
        <f>Inputs_Summary!L46</f>
        <v>0</v>
      </c>
      <c r="K201" s="94">
        <f>Inputs_Summary!M46</f>
        <v>1.42</v>
      </c>
      <c r="L201" s="94">
        <f>Inputs_Summary!N46</f>
        <v>0.46</v>
      </c>
      <c r="M201" s="94">
        <f>Inputs_Summary!O46</f>
        <v>1.51</v>
      </c>
      <c r="N201" s="94">
        <f>Inputs_Summary!P46</f>
        <v>0</v>
      </c>
      <c r="O201" s="94">
        <f>Inputs_Summary!Q46</f>
        <v>3.2000000000000001E-2</v>
      </c>
      <c r="P201" s="100"/>
      <c r="Q201" s="5"/>
      <c r="R201" s="5"/>
      <c r="S201" s="5"/>
      <c r="T201" s="5"/>
    </row>
    <row r="202" spans="1:20" x14ac:dyDescent="0.3">
      <c r="B202" s="3">
        <v>2040</v>
      </c>
      <c r="C202" s="94">
        <f>Inputs_Summary!E47</f>
        <v>0.36168632057761729</v>
      </c>
      <c r="D202" s="94">
        <f>Inputs_Summary!F47</f>
        <v>0.12287246155234656</v>
      </c>
      <c r="E202" s="94">
        <f>Inputs_Summary!G47</f>
        <v>1.1311272563176895</v>
      </c>
      <c r="F202" s="94">
        <f>Inputs_Summary!H47</f>
        <v>1.7302564981949458</v>
      </c>
      <c r="G202" s="94">
        <f>Inputs_Summary!I47</f>
        <v>0</v>
      </c>
      <c r="H202" s="94">
        <f>Inputs_Summary!J47</f>
        <v>0</v>
      </c>
      <c r="I202" s="94">
        <f>Inputs_Summary!K47</f>
        <v>0</v>
      </c>
      <c r="J202" s="94">
        <f>Inputs_Summary!L47</f>
        <v>0</v>
      </c>
      <c r="K202" s="94">
        <f>Inputs_Summary!M47</f>
        <v>1.42</v>
      </c>
      <c r="L202" s="94">
        <f>Inputs_Summary!N47</f>
        <v>0.46</v>
      </c>
      <c r="M202" s="94">
        <f>Inputs_Summary!O47</f>
        <v>1.51</v>
      </c>
      <c r="N202" s="94">
        <f>Inputs_Summary!P47</f>
        <v>0</v>
      </c>
      <c r="O202" s="94">
        <f>Inputs_Summary!Q47</f>
        <v>3.2000000000000001E-2</v>
      </c>
      <c r="P202" s="100"/>
      <c r="Q202" s="5"/>
      <c r="R202" s="5"/>
      <c r="S202" s="5"/>
      <c r="T202" s="5"/>
    </row>
    <row r="203" spans="1:20" x14ac:dyDescent="0.3">
      <c r="B203" s="3">
        <v>2050</v>
      </c>
      <c r="C203" s="94">
        <f>Inputs_Summary!E48</f>
        <v>0.36168632057761729</v>
      </c>
      <c r="D203" s="94">
        <f>Inputs_Summary!F48</f>
        <v>0.12287246155234656</v>
      </c>
      <c r="E203" s="94">
        <f>Inputs_Summary!G48</f>
        <v>1.1311272563176895</v>
      </c>
      <c r="F203" s="94">
        <f>Inputs_Summary!H48</f>
        <v>1.7302564981949458</v>
      </c>
      <c r="G203" s="94">
        <f>Inputs_Summary!I48</f>
        <v>0</v>
      </c>
      <c r="H203" s="94">
        <f>Inputs_Summary!J48</f>
        <v>0</v>
      </c>
      <c r="I203" s="94">
        <f>Inputs_Summary!K48</f>
        <v>0</v>
      </c>
      <c r="J203" s="94">
        <f>Inputs_Summary!L48</f>
        <v>0</v>
      </c>
      <c r="K203" s="94">
        <f>Inputs_Summary!M48</f>
        <v>1.42</v>
      </c>
      <c r="L203" s="94">
        <f>Inputs_Summary!N48</f>
        <v>0.46</v>
      </c>
      <c r="M203" s="94">
        <f>Inputs_Summary!O48</f>
        <v>1.51</v>
      </c>
      <c r="N203" s="94">
        <f>Inputs_Summary!P48</f>
        <v>0</v>
      </c>
      <c r="O203" s="94">
        <f>Inputs_Summary!Q48</f>
        <v>3.2000000000000001E-2</v>
      </c>
      <c r="P203" s="100"/>
      <c r="Q203" s="5"/>
      <c r="R203" s="5"/>
      <c r="S203" s="5"/>
      <c r="T203" s="5"/>
    </row>
    <row r="204" spans="1:20" s="58" customFormat="1" x14ac:dyDescent="0.3">
      <c r="B204" s="67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</row>
    <row r="205" spans="1:20" ht="28.8" x14ac:dyDescent="0.3">
      <c r="B205" s="43" t="s">
        <v>22</v>
      </c>
      <c r="C205" s="43" t="s">
        <v>0</v>
      </c>
      <c r="D205" s="43" t="s">
        <v>1</v>
      </c>
      <c r="E205" s="43" t="s">
        <v>28</v>
      </c>
      <c r="F205" s="2" t="s">
        <v>29</v>
      </c>
      <c r="G205" s="2" t="s">
        <v>6</v>
      </c>
      <c r="H205" s="43" t="s">
        <v>2</v>
      </c>
      <c r="I205" s="43" t="s">
        <v>3</v>
      </c>
      <c r="J205" s="43" t="s">
        <v>4</v>
      </c>
      <c r="K205" s="43" t="s">
        <v>9</v>
      </c>
      <c r="L205" s="43" t="s">
        <v>8</v>
      </c>
      <c r="M205" s="43" t="s">
        <v>25</v>
      </c>
      <c r="N205" s="43" t="s">
        <v>7</v>
      </c>
      <c r="O205" s="43" t="s">
        <v>89</v>
      </c>
      <c r="P205" s="25"/>
      <c r="Q205" s="43" t="s">
        <v>5</v>
      </c>
      <c r="R205" s="43" t="s">
        <v>91</v>
      </c>
      <c r="T205" s="43" t="s">
        <v>10</v>
      </c>
    </row>
    <row r="206" spans="1:20" x14ac:dyDescent="0.3">
      <c r="A206" s="15">
        <f>C176+C186</f>
        <v>101.28345678417769</v>
      </c>
      <c r="B206" s="3">
        <v>2016</v>
      </c>
      <c r="C206" s="19">
        <f t="shared" ref="C206:O206" si="81">((C196+C192)*C16+C200*C46*1000)/1000000</f>
        <v>0</v>
      </c>
      <c r="D206" s="19">
        <f t="shared" si="81"/>
        <v>0</v>
      </c>
      <c r="E206" s="19">
        <f t="shared" si="81"/>
        <v>0</v>
      </c>
      <c r="F206" s="19">
        <f t="shared" si="81"/>
        <v>0</v>
      </c>
      <c r="G206" s="19">
        <f t="shared" si="81"/>
        <v>0</v>
      </c>
      <c r="H206" s="19">
        <f t="shared" si="81"/>
        <v>0</v>
      </c>
      <c r="I206" s="19">
        <f t="shared" si="81"/>
        <v>0</v>
      </c>
      <c r="J206" s="19">
        <f t="shared" si="81"/>
        <v>0</v>
      </c>
      <c r="K206" s="19">
        <f t="shared" si="81"/>
        <v>0</v>
      </c>
      <c r="L206" s="19">
        <f t="shared" si="81"/>
        <v>0</v>
      </c>
      <c r="M206" s="19">
        <f t="shared" si="81"/>
        <v>0</v>
      </c>
      <c r="N206" s="19">
        <f t="shared" si="81"/>
        <v>0</v>
      </c>
      <c r="O206" s="19">
        <f t="shared" si="81"/>
        <v>0</v>
      </c>
      <c r="P206" s="62"/>
      <c r="Q206" s="39">
        <f>G206+N206</f>
        <v>0</v>
      </c>
      <c r="R206" s="5">
        <f>SUM(K206:L206)</f>
        <v>0</v>
      </c>
      <c r="T206" s="5">
        <f>SUM(C206:O206)</f>
        <v>0</v>
      </c>
    </row>
    <row r="207" spans="1:20" x14ac:dyDescent="0.3">
      <c r="A207" s="15">
        <f t="shared" ref="A207:A209" si="82">C177+C187</f>
        <v>139.52560227341536</v>
      </c>
      <c r="B207" s="3">
        <v>2030</v>
      </c>
      <c r="C207" s="19">
        <f t="shared" ref="C207:O207" si="83">((C197+C193)*C17+C201*C47*1000)/1000000</f>
        <v>0</v>
      </c>
      <c r="D207" s="19">
        <f t="shared" si="83"/>
        <v>0</v>
      </c>
      <c r="E207" s="19">
        <f t="shared" si="83"/>
        <v>15.369533802031654</v>
      </c>
      <c r="F207" s="19">
        <f t="shared" si="83"/>
        <v>10.742207903203356</v>
      </c>
      <c r="G207" s="19">
        <f t="shared" si="83"/>
        <v>0</v>
      </c>
      <c r="H207" s="19">
        <f t="shared" si="83"/>
        <v>21.403199999999998</v>
      </c>
      <c r="I207" s="19">
        <f t="shared" si="83"/>
        <v>0</v>
      </c>
      <c r="J207" s="19">
        <f t="shared" si="83"/>
        <v>2.8043</v>
      </c>
      <c r="K207" s="19">
        <f t="shared" si="83"/>
        <v>3.0213758093500216</v>
      </c>
      <c r="L207" s="19">
        <f t="shared" si="83"/>
        <v>0</v>
      </c>
      <c r="M207" s="19">
        <f t="shared" si="83"/>
        <v>0</v>
      </c>
      <c r="N207" s="19">
        <f t="shared" si="83"/>
        <v>0.84233122663089777</v>
      </c>
      <c r="O207" s="19">
        <f t="shared" si="83"/>
        <v>1.8780000000000002E-2</v>
      </c>
      <c r="P207" s="62"/>
      <c r="Q207" s="39">
        <f>G207+N207</f>
        <v>0.84233122663089777</v>
      </c>
      <c r="R207" s="5">
        <f>SUM(K207:L207)</f>
        <v>3.0213758093500216</v>
      </c>
      <c r="T207" s="5">
        <f t="shared" ref="T207:T209" si="84">SUM(C207:O207)</f>
        <v>54.201728741215923</v>
      </c>
    </row>
    <row r="208" spans="1:20" x14ac:dyDescent="0.3">
      <c r="A208" s="15">
        <f t="shared" si="82"/>
        <v>96.588123742660073</v>
      </c>
      <c r="B208" s="3">
        <v>2040</v>
      </c>
      <c r="C208" s="19">
        <f t="shared" ref="C208:O208" si="85">((C198+C194)*C18+C202*C48*1000)/1000000</f>
        <v>0</v>
      </c>
      <c r="D208" s="19">
        <f t="shared" si="85"/>
        <v>0</v>
      </c>
      <c r="E208" s="19">
        <f t="shared" si="85"/>
        <v>41.516259565167019</v>
      </c>
      <c r="F208" s="19">
        <f t="shared" si="85"/>
        <v>25.628390107683089</v>
      </c>
      <c r="G208" s="19">
        <f t="shared" si="85"/>
        <v>16.178562093862816</v>
      </c>
      <c r="H208" s="19">
        <f t="shared" si="85"/>
        <v>77.395499999999998</v>
      </c>
      <c r="I208" s="19">
        <f t="shared" si="85"/>
        <v>0</v>
      </c>
      <c r="J208" s="19">
        <f t="shared" si="85"/>
        <v>16.7624</v>
      </c>
      <c r="K208" s="19">
        <f t="shared" si="85"/>
        <v>2.9916165264378995</v>
      </c>
      <c r="L208" s="19">
        <f t="shared" si="85"/>
        <v>0</v>
      </c>
      <c r="M208" s="19">
        <f t="shared" si="85"/>
        <v>0</v>
      </c>
      <c r="N208" s="19">
        <f t="shared" si="85"/>
        <v>0.84233122663089777</v>
      </c>
      <c r="O208" s="19">
        <f t="shared" si="85"/>
        <v>1.8780000000000002E-2</v>
      </c>
      <c r="P208" s="62"/>
      <c r="Q208" s="39">
        <f>G208+N208</f>
        <v>17.020893320493713</v>
      </c>
      <c r="R208" s="5">
        <f>SUM(K208:L208)</f>
        <v>2.9916165264378995</v>
      </c>
      <c r="T208" s="5">
        <f t="shared" si="84"/>
        <v>181.33383951978169</v>
      </c>
    </row>
    <row r="209" spans="1:24" x14ac:dyDescent="0.3">
      <c r="A209" s="15">
        <f t="shared" si="82"/>
        <v>76.896412667475303</v>
      </c>
      <c r="B209" s="3">
        <v>2050</v>
      </c>
      <c r="C209" s="19">
        <f t="shared" ref="C209:O209" si="86">((C199+C195)*C19+C203*C49*1000)/1000000</f>
        <v>25.359802845679209</v>
      </c>
      <c r="D209" s="19">
        <f t="shared" si="86"/>
        <v>0</v>
      </c>
      <c r="E209" s="19">
        <f t="shared" si="86"/>
        <v>53.146556487081028</v>
      </c>
      <c r="F209" s="19">
        <f t="shared" si="86"/>
        <v>34.270360901479577</v>
      </c>
      <c r="G209" s="19">
        <f t="shared" si="86"/>
        <v>16.178562093862816</v>
      </c>
      <c r="H209" s="19">
        <f t="shared" si="86"/>
        <v>107.7804</v>
      </c>
      <c r="I209" s="19">
        <f t="shared" si="86"/>
        <v>0</v>
      </c>
      <c r="J209" s="19">
        <f t="shared" si="86"/>
        <v>25.961600000000001</v>
      </c>
      <c r="K209" s="19">
        <f t="shared" si="86"/>
        <v>2.6705402840084727</v>
      </c>
      <c r="L209" s="19">
        <f t="shared" si="86"/>
        <v>0</v>
      </c>
      <c r="M209" s="19">
        <f t="shared" si="86"/>
        <v>0</v>
      </c>
      <c r="N209" s="19">
        <f t="shared" si="86"/>
        <v>0.84233122663089777</v>
      </c>
      <c r="O209" s="19">
        <f t="shared" si="86"/>
        <v>1.8780000000000002E-2</v>
      </c>
      <c r="P209" s="62"/>
      <c r="Q209" s="39">
        <f>G209+N209</f>
        <v>17.020893320493713</v>
      </c>
      <c r="R209" s="5">
        <f>SUM(K209:L209)</f>
        <v>2.6705402840084727</v>
      </c>
      <c r="T209" s="5">
        <f t="shared" si="84"/>
        <v>266.22893383874202</v>
      </c>
    </row>
    <row r="210" spans="1:24" x14ac:dyDescent="0.3"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69"/>
    </row>
    <row r="211" spans="1:24" ht="72" x14ac:dyDescent="0.3">
      <c r="B211" s="43" t="s">
        <v>23</v>
      </c>
      <c r="C211" s="43" t="s">
        <v>0</v>
      </c>
      <c r="D211" s="43" t="s">
        <v>1</v>
      </c>
      <c r="E211" s="43" t="s">
        <v>28</v>
      </c>
      <c r="F211" s="2" t="s">
        <v>29</v>
      </c>
      <c r="G211" s="2" t="s">
        <v>6</v>
      </c>
      <c r="H211" s="43" t="s">
        <v>2</v>
      </c>
      <c r="I211" s="43" t="s">
        <v>3</v>
      </c>
      <c r="J211" s="43" t="s">
        <v>4</v>
      </c>
      <c r="K211" s="43" t="s">
        <v>9</v>
      </c>
      <c r="L211" s="43" t="s">
        <v>8</v>
      </c>
      <c r="M211" s="43" t="s">
        <v>25</v>
      </c>
      <c r="N211" s="43" t="s">
        <v>7</v>
      </c>
      <c r="O211" s="43" t="s">
        <v>89</v>
      </c>
      <c r="P211" s="25"/>
      <c r="Q211" s="43" t="s">
        <v>5</v>
      </c>
      <c r="R211" s="43" t="s">
        <v>91</v>
      </c>
      <c r="T211" s="43" t="s">
        <v>10</v>
      </c>
      <c r="U211" s="41" t="s">
        <v>86</v>
      </c>
      <c r="V211" s="43" t="s">
        <v>92</v>
      </c>
      <c r="W211" s="43" t="s">
        <v>93</v>
      </c>
      <c r="X211" s="25" t="s">
        <v>60</v>
      </c>
    </row>
    <row r="212" spans="1:24" x14ac:dyDescent="0.3">
      <c r="B212" s="3">
        <v>2016</v>
      </c>
      <c r="C212" s="19">
        <f>C176+C186+C206</f>
        <v>101.28345678417769</v>
      </c>
      <c r="D212" s="19">
        <f t="shared" ref="D212:O215" si="87">D176+D186+D206</f>
        <v>3.0206166863931165</v>
      </c>
      <c r="E212" s="19">
        <f t="shared" si="87"/>
        <v>0.71827291818882821</v>
      </c>
      <c r="F212" s="19">
        <f t="shared" si="87"/>
        <v>5.6112431781664789</v>
      </c>
      <c r="G212" s="19">
        <f t="shared" si="87"/>
        <v>4.7397372806457199</v>
      </c>
      <c r="H212" s="19">
        <f t="shared" si="87"/>
        <v>4.0750701878248003</v>
      </c>
      <c r="I212" s="19">
        <f t="shared" si="87"/>
        <v>2.9231010200632919</v>
      </c>
      <c r="J212" s="19">
        <f t="shared" si="87"/>
        <v>4.4864465988215327</v>
      </c>
      <c r="K212" s="19">
        <f t="shared" si="87"/>
        <v>0</v>
      </c>
      <c r="L212" s="19">
        <f t="shared" si="87"/>
        <v>2.6751491869481288</v>
      </c>
      <c r="M212" s="19">
        <f t="shared" si="87"/>
        <v>0</v>
      </c>
      <c r="N212" s="19">
        <f t="shared" si="87"/>
        <v>0.46729964879989472</v>
      </c>
      <c r="O212" s="19">
        <f t="shared" si="87"/>
        <v>0</v>
      </c>
      <c r="P212" s="62"/>
      <c r="Q212" s="5">
        <f>G212+N212</f>
        <v>5.2070369294456142</v>
      </c>
      <c r="R212" s="5">
        <f>SUM(K212:L212)</f>
        <v>2.6751491869481288</v>
      </c>
      <c r="S212" s="5"/>
      <c r="T212" s="46">
        <f>SUM(C212:O212)</f>
        <v>130.00039349002947</v>
      </c>
      <c r="U212" s="39">
        <f>T212+T128*Inputs_Summary!M64/1000</f>
        <v>155.98922641286882</v>
      </c>
      <c r="V212" s="39">
        <f>T212+Inputs_Summary!$M$62*Inputs_Summary!M72/1000</f>
        <v>202.62649349002947</v>
      </c>
      <c r="W212" s="39">
        <f>V212+(U212-T212)</f>
        <v>228.61532641286882</v>
      </c>
      <c r="X212" s="75">
        <f>T212-'O-BC-LowD'!T212</f>
        <v>0</v>
      </c>
    </row>
    <row r="213" spans="1:24" x14ac:dyDescent="0.3">
      <c r="B213" s="3">
        <v>2030</v>
      </c>
      <c r="C213" s="19">
        <f>C177+C187+C207</f>
        <v>139.52560227341536</v>
      </c>
      <c r="D213" s="19">
        <f t="shared" ref="D213:N213" si="88">D177+D187+D207</f>
        <v>3.004197259204235</v>
      </c>
      <c r="E213" s="19">
        <f t="shared" si="88"/>
        <v>17.483858373631595</v>
      </c>
      <c r="F213" s="19">
        <f t="shared" si="88"/>
        <v>11.818995711159344</v>
      </c>
      <c r="G213" s="19">
        <f t="shared" si="88"/>
        <v>4.0159417061978804</v>
      </c>
      <c r="H213" s="19">
        <f t="shared" si="88"/>
        <v>31.627229005505519</v>
      </c>
      <c r="I213" s="19">
        <f t="shared" si="88"/>
        <v>12.426847987614085</v>
      </c>
      <c r="J213" s="19">
        <f t="shared" si="88"/>
        <v>9.1466307301391954</v>
      </c>
      <c r="K213" s="19">
        <f t="shared" si="88"/>
        <v>3.3280207042713927</v>
      </c>
      <c r="L213" s="19">
        <f t="shared" si="88"/>
        <v>4.2675309284617828</v>
      </c>
      <c r="M213" s="19">
        <f t="shared" si="88"/>
        <v>0</v>
      </c>
      <c r="N213" s="19">
        <f t="shared" si="88"/>
        <v>4.6599470665572253</v>
      </c>
      <c r="O213" s="19">
        <f t="shared" si="87"/>
        <v>1.8780000000000002E-2</v>
      </c>
      <c r="P213" s="62"/>
      <c r="Q213" s="5">
        <f>G213+N213</f>
        <v>8.6758887727551048</v>
      </c>
      <c r="R213" s="5">
        <f>SUM(K213:L213)</f>
        <v>7.5955516327331756</v>
      </c>
      <c r="S213" s="5"/>
      <c r="T213" s="46">
        <f t="shared" ref="T213:T215" si="89">SUM(C213:O213)</f>
        <v>241.3235817461576</v>
      </c>
      <c r="U213" s="39">
        <f>T213+T129*Inputs_Summary!M65/1000</f>
        <v>266.77010097525408</v>
      </c>
      <c r="V213" s="39">
        <f>T213+Inputs_Summary!$M$62*Inputs_Summary!M73/1000</f>
        <v>333.52924692789566</v>
      </c>
      <c r="W213" s="39">
        <f t="shared" ref="W213:W215" si="90">V213+(U213-T213)</f>
        <v>358.97576615699211</v>
      </c>
      <c r="X213" s="75">
        <f>T213-'O-BC-LowD'!T213</f>
        <v>-0.95335036856695865</v>
      </c>
    </row>
    <row r="214" spans="1:24" x14ac:dyDescent="0.3">
      <c r="B214" s="3">
        <v>2040</v>
      </c>
      <c r="C214" s="19">
        <f>C178+C188+C208</f>
        <v>96.588123742660073</v>
      </c>
      <c r="D214" s="19">
        <f t="shared" ref="D214:N214" si="91">D178+D188+D208</f>
        <v>2.9687056883525962</v>
      </c>
      <c r="E214" s="19">
        <f t="shared" si="91"/>
        <v>43.663766621766371</v>
      </c>
      <c r="F214" s="19">
        <f t="shared" si="91"/>
        <v>25.980999821730123</v>
      </c>
      <c r="G214" s="19">
        <f t="shared" si="91"/>
        <v>20.155414367564784</v>
      </c>
      <c r="H214" s="19">
        <f t="shared" si="91"/>
        <v>77.395499999999998</v>
      </c>
      <c r="I214" s="19">
        <f t="shared" si="91"/>
        <v>12.462837084244574</v>
      </c>
      <c r="J214" s="19">
        <f t="shared" si="91"/>
        <v>19.975549856211721</v>
      </c>
      <c r="K214" s="19">
        <f t="shared" si="91"/>
        <v>3.2985816078185897</v>
      </c>
      <c r="L214" s="19">
        <f t="shared" si="91"/>
        <v>4.3334361571957594</v>
      </c>
      <c r="M214" s="19">
        <f t="shared" si="91"/>
        <v>0</v>
      </c>
      <c r="N214" s="19">
        <f t="shared" si="91"/>
        <v>4.6584812210379258</v>
      </c>
      <c r="O214" s="19">
        <f t="shared" si="87"/>
        <v>1.8780000000000002E-2</v>
      </c>
      <c r="P214" s="62"/>
      <c r="Q214" s="5">
        <f>G214+N214</f>
        <v>24.813895588602712</v>
      </c>
      <c r="R214" s="5">
        <f>SUM(K214:L214)</f>
        <v>7.632017765014349</v>
      </c>
      <c r="S214" s="5"/>
      <c r="T214" s="46">
        <f t="shared" si="89"/>
        <v>311.50017616858253</v>
      </c>
      <c r="U214" s="39">
        <f>T214+T130*Inputs_Summary!M66/1000</f>
        <v>326.09227726805648</v>
      </c>
      <c r="V214" s="39">
        <f>T214+Inputs_Summary!$M$62*Inputs_Summary!M74/1000</f>
        <v>416.96934717500682</v>
      </c>
      <c r="W214" s="39">
        <f t="shared" si="90"/>
        <v>431.56144827448077</v>
      </c>
      <c r="X214" s="75">
        <f>T214-'O-BC-LowD'!T214</f>
        <v>-12.1550554005658</v>
      </c>
    </row>
    <row r="215" spans="1:24" x14ac:dyDescent="0.3">
      <c r="B215" s="3">
        <v>2050</v>
      </c>
      <c r="C215" s="19">
        <f>C179+C189+C209</f>
        <v>102.25621551315452</v>
      </c>
      <c r="D215" s="19">
        <f t="shared" ref="D215:N215" si="92">D179+D189+D209</f>
        <v>0</v>
      </c>
      <c r="E215" s="19">
        <f t="shared" si="92"/>
        <v>55.288938118388991</v>
      </c>
      <c r="F215" s="19">
        <f t="shared" si="92"/>
        <v>34.270360901479577</v>
      </c>
      <c r="G215" s="19">
        <f t="shared" si="92"/>
        <v>20.002039613632796</v>
      </c>
      <c r="H215" s="19">
        <f t="shared" si="92"/>
        <v>107.7804</v>
      </c>
      <c r="I215" s="19">
        <f t="shared" si="92"/>
        <v>0</v>
      </c>
      <c r="J215" s="19">
        <f t="shared" si="92"/>
        <v>25.961600000000001</v>
      </c>
      <c r="K215" s="19">
        <f t="shared" si="92"/>
        <v>2.6705402840084727</v>
      </c>
      <c r="L215" s="19">
        <f t="shared" si="92"/>
        <v>2.6496860409635827</v>
      </c>
      <c r="M215" s="19">
        <f t="shared" si="92"/>
        <v>0</v>
      </c>
      <c r="N215" s="19">
        <f t="shared" si="92"/>
        <v>4.6587335978057993</v>
      </c>
      <c r="O215" s="19">
        <f t="shared" si="87"/>
        <v>1.8780000000000002E-2</v>
      </c>
      <c r="P215" s="62"/>
      <c r="Q215" s="5">
        <f>G215+N215</f>
        <v>24.660773211438595</v>
      </c>
      <c r="R215" s="5">
        <f>SUM(K215:L215)</f>
        <v>5.3202263249720554</v>
      </c>
      <c r="S215" s="5"/>
      <c r="T215" s="46">
        <f t="shared" si="89"/>
        <v>355.55729406943368</v>
      </c>
      <c r="U215" s="39">
        <f>T215+T131*Inputs_Summary!M67/1000</f>
        <v>368.02669476919249</v>
      </c>
      <c r="V215" s="39">
        <f>T215+Inputs_Summary!$M$62*Inputs_Summary!M75/1000</f>
        <v>470.23305666371454</v>
      </c>
      <c r="W215" s="39">
        <f t="shared" si="90"/>
        <v>482.70245736347334</v>
      </c>
      <c r="X215" s="75">
        <f>T215-'O-BC-LowD'!T215</f>
        <v>-16.356382772704478</v>
      </c>
    </row>
    <row r="216" spans="1:24" x14ac:dyDescent="0.3">
      <c r="U216" s="11"/>
    </row>
    <row r="217" spans="1:24" x14ac:dyDescent="0.3">
      <c r="B217" s="3">
        <v>2016</v>
      </c>
      <c r="C217" s="21">
        <f t="shared" ref="C217:O220" si="93">IFERROR(C212/$T212,0)</f>
        <v>0.7791011555049312</v>
      </c>
      <c r="D217" s="21">
        <f t="shared" si="93"/>
        <v>2.3235442642139281E-2</v>
      </c>
      <c r="E217" s="21">
        <f t="shared" si="93"/>
        <v>5.5251595699509709E-3</v>
      </c>
      <c r="F217" s="21">
        <f t="shared" si="93"/>
        <v>4.316327841420603E-2</v>
      </c>
      <c r="G217" s="21">
        <f t="shared" si="93"/>
        <v>3.6459407186403933E-2</v>
      </c>
      <c r="H217" s="21">
        <f t="shared" si="93"/>
        <v>3.1346598871159127E-2</v>
      </c>
      <c r="I217" s="21">
        <f t="shared" si="93"/>
        <v>2.2485324402402539E-2</v>
      </c>
      <c r="J217" s="21">
        <f t="shared" si="93"/>
        <v>3.4511023223676829E-2</v>
      </c>
      <c r="K217" s="21">
        <f t="shared" si="93"/>
        <v>0</v>
      </c>
      <c r="L217" s="21">
        <f t="shared" si="93"/>
        <v>2.0578008382361568E-2</v>
      </c>
      <c r="M217" s="21">
        <f t="shared" si="93"/>
        <v>0</v>
      </c>
      <c r="N217" s="21">
        <f t="shared" si="93"/>
        <v>3.5946018027686573E-3</v>
      </c>
      <c r="O217" s="21">
        <f t="shared" si="93"/>
        <v>0</v>
      </c>
      <c r="P217" s="29"/>
      <c r="Q217" s="7">
        <f t="shared" ref="Q217:R220" si="94">IFERROR(Q212/$T212,0)</f>
        <v>4.0054008989172593E-2</v>
      </c>
      <c r="R217" s="7">
        <f t="shared" si="94"/>
        <v>2.0578008382361568E-2</v>
      </c>
      <c r="T217" s="8">
        <f>SUM(C217:O217)</f>
        <v>1.0000000000000002</v>
      </c>
      <c r="U217" s="11"/>
    </row>
    <row r="218" spans="1:24" x14ac:dyDescent="0.3">
      <c r="B218" s="3">
        <v>2030</v>
      </c>
      <c r="C218" s="21">
        <f t="shared" si="93"/>
        <v>0.57816812291547592</v>
      </c>
      <c r="D218" s="21">
        <f t="shared" si="93"/>
        <v>1.244883420619986E-2</v>
      </c>
      <c r="E218" s="21">
        <f t="shared" si="93"/>
        <v>7.244985445318991E-2</v>
      </c>
      <c r="F218" s="21">
        <f t="shared" si="93"/>
        <v>4.8975718102806286E-2</v>
      </c>
      <c r="G218" s="21">
        <f t="shared" si="93"/>
        <v>1.6641314856755903E-2</v>
      </c>
      <c r="H218" s="21">
        <f t="shared" si="93"/>
        <v>0.1310573495414693</v>
      </c>
      <c r="I218" s="21">
        <f t="shared" si="93"/>
        <v>5.1494544783798148E-2</v>
      </c>
      <c r="J218" s="21">
        <f t="shared" si="93"/>
        <v>3.7901935086312094E-2</v>
      </c>
      <c r="K218" s="21">
        <f t="shared" si="93"/>
        <v>1.3790698282325582E-2</v>
      </c>
      <c r="L218" s="21">
        <f t="shared" si="93"/>
        <v>1.7683853760096659E-2</v>
      </c>
      <c r="M218" s="21">
        <f t="shared" si="93"/>
        <v>0</v>
      </c>
      <c r="N218" s="21">
        <f t="shared" si="93"/>
        <v>1.9309953187496239E-2</v>
      </c>
      <c r="O218" s="21">
        <f t="shared" si="93"/>
        <v>7.7820824074102411E-5</v>
      </c>
      <c r="P218" s="29"/>
      <c r="Q218" s="7">
        <f t="shared" si="94"/>
        <v>3.5951268044252138E-2</v>
      </c>
      <c r="R218" s="7">
        <f t="shared" si="94"/>
        <v>3.1474552042422242E-2</v>
      </c>
      <c r="T218" s="8">
        <f t="shared" ref="T218:T220" si="95">SUM(C218:O218)</f>
        <v>1</v>
      </c>
      <c r="U218" s="11"/>
    </row>
    <row r="219" spans="1:24" x14ac:dyDescent="0.3">
      <c r="B219" s="3">
        <v>2040</v>
      </c>
      <c r="C219" s="21">
        <f t="shared" si="93"/>
        <v>0.31007405816164613</v>
      </c>
      <c r="D219" s="21">
        <f t="shared" si="93"/>
        <v>9.5303499499337224E-3</v>
      </c>
      <c r="E219" s="21">
        <f t="shared" si="93"/>
        <v>0.14017252625287677</v>
      </c>
      <c r="F219" s="21">
        <f t="shared" si="93"/>
        <v>8.3406051775936463E-2</v>
      </c>
      <c r="G219" s="21">
        <f t="shared" si="93"/>
        <v>6.4704343398691244E-2</v>
      </c>
      <c r="H219" s="21">
        <f t="shared" si="93"/>
        <v>0.24846053364064197</v>
      </c>
      <c r="I219" s="21">
        <f t="shared" si="93"/>
        <v>4.0009085187482342E-2</v>
      </c>
      <c r="J219" s="21">
        <f t="shared" si="93"/>
        <v>6.4126929563600124E-2</v>
      </c>
      <c r="K219" s="21">
        <f t="shared" si="93"/>
        <v>1.0589341066803801E-2</v>
      </c>
      <c r="L219" s="21">
        <f t="shared" si="93"/>
        <v>1.3911504675523916E-2</v>
      </c>
      <c r="M219" s="21">
        <f t="shared" si="93"/>
        <v>0</v>
      </c>
      <c r="N219" s="21">
        <f t="shared" si="93"/>
        <v>1.4954987436401244E-2</v>
      </c>
      <c r="O219" s="21">
        <f t="shared" si="93"/>
        <v>6.0288890462252412E-5</v>
      </c>
      <c r="P219" s="29"/>
      <c r="Q219" s="7">
        <f t="shared" si="94"/>
        <v>7.9659330835092496E-2</v>
      </c>
      <c r="R219" s="7">
        <f t="shared" si="94"/>
        <v>2.4500845742327717E-2</v>
      </c>
      <c r="T219" s="8">
        <f t="shared" si="95"/>
        <v>1</v>
      </c>
      <c r="U219" s="11"/>
    </row>
    <row r="220" spans="1:24" x14ac:dyDescent="0.3">
      <c r="B220" s="3">
        <v>2050</v>
      </c>
      <c r="C220" s="21">
        <f t="shared" si="93"/>
        <v>0.28759419991869384</v>
      </c>
      <c r="D220" s="21">
        <f t="shared" si="93"/>
        <v>0</v>
      </c>
      <c r="E220" s="21">
        <f t="shared" si="93"/>
        <v>0.15549937813283082</v>
      </c>
      <c r="F220" s="21">
        <f t="shared" si="93"/>
        <v>9.6384918754576915E-2</v>
      </c>
      <c r="G220" s="21">
        <f t="shared" si="93"/>
        <v>5.6255461348310221E-2</v>
      </c>
      <c r="H220" s="21">
        <f t="shared" si="93"/>
        <v>0.30313089282019484</v>
      </c>
      <c r="I220" s="21">
        <f t="shared" si="93"/>
        <v>0</v>
      </c>
      <c r="J220" s="21">
        <f t="shared" si="93"/>
        <v>7.3016642979992386E-2</v>
      </c>
      <c r="K220" s="21">
        <f t="shared" si="93"/>
        <v>7.5108578239066193E-3</v>
      </c>
      <c r="L220" s="21">
        <f t="shared" si="93"/>
        <v>7.4522055521272718E-3</v>
      </c>
      <c r="M220" s="21">
        <f t="shared" si="93"/>
        <v>0</v>
      </c>
      <c r="N220" s="21">
        <f t="shared" si="93"/>
        <v>1.3102624177627012E-2</v>
      </c>
      <c r="O220" s="21">
        <f t="shared" si="93"/>
        <v>5.2818491740272438E-5</v>
      </c>
      <c r="P220" s="29"/>
      <c r="Q220" s="7">
        <f t="shared" si="94"/>
        <v>6.9358085525937224E-2</v>
      </c>
      <c r="R220" s="7">
        <f t="shared" si="94"/>
        <v>1.4963063376033892E-2</v>
      </c>
      <c r="T220" s="8">
        <f t="shared" si="95"/>
        <v>1</v>
      </c>
    </row>
    <row r="222" spans="1:24" s="9" customFormat="1" ht="21" x14ac:dyDescent="0.4">
      <c r="B222" s="10" t="s">
        <v>51</v>
      </c>
    </row>
    <row r="223" spans="1:24" s="32" customFormat="1" ht="21" x14ac:dyDescent="0.4">
      <c r="B223" s="31"/>
      <c r="C223" s="40"/>
      <c r="D223" s="40"/>
      <c r="E223" s="40"/>
      <c r="P223" s="58"/>
    </row>
    <row r="224" spans="1:24" ht="28.8" x14ac:dyDescent="0.3">
      <c r="B224" s="43" t="s">
        <v>48</v>
      </c>
      <c r="C224" s="43" t="s">
        <v>0</v>
      </c>
      <c r="D224" s="43" t="s">
        <v>1</v>
      </c>
      <c r="E224" s="43" t="s">
        <v>28</v>
      </c>
      <c r="F224" s="2" t="s">
        <v>29</v>
      </c>
      <c r="G224" s="2" t="s">
        <v>6</v>
      </c>
      <c r="H224" s="43" t="s">
        <v>2</v>
      </c>
      <c r="I224" s="43" t="s">
        <v>3</v>
      </c>
      <c r="J224" s="43" t="s">
        <v>4</v>
      </c>
      <c r="K224" s="43" t="s">
        <v>9</v>
      </c>
      <c r="L224" s="43" t="s">
        <v>8</v>
      </c>
      <c r="M224" s="43" t="s">
        <v>25</v>
      </c>
      <c r="N224" s="43" t="s">
        <v>7</v>
      </c>
      <c r="O224" s="43" t="s">
        <v>89</v>
      </c>
      <c r="P224" s="25"/>
      <c r="Q224" s="43" t="s">
        <v>5</v>
      </c>
      <c r="R224" s="43" t="s">
        <v>91</v>
      </c>
      <c r="T224" s="42"/>
    </row>
    <row r="225" spans="2:20" x14ac:dyDescent="0.3">
      <c r="B225" s="3">
        <v>2016</v>
      </c>
      <c r="C225" s="48">
        <f t="shared" ref="C225:O225" si="96">IFERROR(C176/C34*1000,"")</f>
        <v>0.48989471926362094</v>
      </c>
      <c r="D225" s="48">
        <f t="shared" si="96"/>
        <v>0.20487259277908632</v>
      </c>
      <c r="E225" s="48">
        <f t="shared" si="96"/>
        <v>0.95000000000000007</v>
      </c>
      <c r="F225" s="48">
        <f t="shared" si="96"/>
        <v>2.7719237674542714</v>
      </c>
      <c r="G225" s="48">
        <f t="shared" si="96"/>
        <v>0.30000000000000004</v>
      </c>
      <c r="H225" s="48">
        <f t="shared" si="96"/>
        <v>0.93</v>
      </c>
      <c r="I225" s="48">
        <f t="shared" si="96"/>
        <v>3.2999999999999994</v>
      </c>
      <c r="J225" s="48">
        <f t="shared" si="96"/>
        <v>1.6999999999999997</v>
      </c>
      <c r="K225" s="48" t="str">
        <f t="shared" si="96"/>
        <v/>
      </c>
      <c r="L225" s="48">
        <f t="shared" si="96"/>
        <v>1.6499999999999997</v>
      </c>
      <c r="M225" s="48" t="str">
        <f t="shared" si="96"/>
        <v/>
      </c>
      <c r="N225" s="48">
        <f t="shared" si="96"/>
        <v>0.15605822366857675</v>
      </c>
      <c r="O225" s="48" t="str">
        <f t="shared" si="96"/>
        <v/>
      </c>
      <c r="P225" s="53"/>
      <c r="T225" s="42">
        <f>IFERROR(T176/Inputs_Summary!M72*1000,"")</f>
        <v>0.51041383896307546</v>
      </c>
    </row>
    <row r="226" spans="2:20" x14ac:dyDescent="0.3">
      <c r="B226" s="3">
        <v>2030</v>
      </c>
      <c r="C226" s="48">
        <f t="shared" ref="C226:O226" si="97">IFERROR(C177/C35*1000,"")</f>
        <v>0.48142830208189702</v>
      </c>
      <c r="D226" s="48">
        <f t="shared" si="97"/>
        <v>0.20562259124151319</v>
      </c>
      <c r="E226" s="48">
        <f t="shared" si="97"/>
        <v>0.95</v>
      </c>
      <c r="F226" s="48">
        <f t="shared" si="97"/>
        <v>4.6302237377199074</v>
      </c>
      <c r="G226" s="48">
        <f t="shared" si="97"/>
        <v>0.3</v>
      </c>
      <c r="H226" s="48">
        <f t="shared" si="97"/>
        <v>0.93</v>
      </c>
      <c r="I226" s="48">
        <f t="shared" si="97"/>
        <v>3.3000000000000003</v>
      </c>
      <c r="J226" s="48">
        <f t="shared" si="97"/>
        <v>1.7000000000000002</v>
      </c>
      <c r="K226" s="48" t="str">
        <f t="shared" si="97"/>
        <v/>
      </c>
      <c r="L226" s="48">
        <f t="shared" si="97"/>
        <v>1.65</v>
      </c>
      <c r="M226" s="48" t="str">
        <f t="shared" si="97"/>
        <v/>
      </c>
      <c r="N226" s="48">
        <f t="shared" si="97"/>
        <v>0.17148180405899818</v>
      </c>
      <c r="O226" s="48" t="str">
        <f t="shared" si="97"/>
        <v/>
      </c>
      <c r="P226" s="53"/>
      <c r="T226" s="42">
        <f>IFERROR(T177/T35*1000,"")</f>
        <v>0.50597076433220789</v>
      </c>
    </row>
    <row r="227" spans="2:20" x14ac:dyDescent="0.3">
      <c r="B227" s="3">
        <v>2040</v>
      </c>
      <c r="C227" s="48">
        <f t="shared" ref="C227:O227" si="98">IFERROR(C178/C36*1000,"")</f>
        <v>0.5031284548819539</v>
      </c>
      <c r="D227" s="48">
        <f t="shared" si="98"/>
        <v>0.20729158174957649</v>
      </c>
      <c r="E227" s="48">
        <f t="shared" si="98"/>
        <v>0.95</v>
      </c>
      <c r="F227" s="48">
        <f t="shared" si="98"/>
        <v>4.6200340988445854</v>
      </c>
      <c r="G227" s="48">
        <f t="shared" si="98"/>
        <v>0.29999999999999993</v>
      </c>
      <c r="H227" s="48" t="str">
        <f t="shared" si="98"/>
        <v/>
      </c>
      <c r="I227" s="48">
        <f t="shared" si="98"/>
        <v>3.3</v>
      </c>
      <c r="J227" s="48">
        <f t="shared" si="98"/>
        <v>1.7000000000000002</v>
      </c>
      <c r="K227" s="48" t="str">
        <f t="shared" si="98"/>
        <v/>
      </c>
      <c r="L227" s="48">
        <f t="shared" si="98"/>
        <v>1.65</v>
      </c>
      <c r="M227" s="48" t="str">
        <f t="shared" si="98"/>
        <v/>
      </c>
      <c r="N227" s="48">
        <f t="shared" si="98"/>
        <v>0.1728596015526781</v>
      </c>
      <c r="O227" s="48" t="str">
        <f t="shared" si="98"/>
        <v/>
      </c>
      <c r="P227" s="53"/>
      <c r="T227" s="42">
        <f>IFERROR(T178/T36*1000,"")</f>
        <v>0.48776095378226425</v>
      </c>
    </row>
    <row r="228" spans="2:20" x14ac:dyDescent="0.3">
      <c r="B228" s="3">
        <v>2050</v>
      </c>
      <c r="C228" s="48" t="str">
        <f t="shared" ref="C228:O228" si="99">IFERROR(C179/C37*1000,"")</f>
        <v/>
      </c>
      <c r="D228" s="48" t="str">
        <f t="shared" si="99"/>
        <v/>
      </c>
      <c r="E228" s="48">
        <f t="shared" si="99"/>
        <v>0.95</v>
      </c>
      <c r="F228" s="48" t="str">
        <f t="shared" si="99"/>
        <v/>
      </c>
      <c r="G228" s="48">
        <f t="shared" si="99"/>
        <v>0.3</v>
      </c>
      <c r="H228" s="48" t="str">
        <f t="shared" si="99"/>
        <v/>
      </c>
      <c r="I228" s="48" t="str">
        <f t="shared" si="99"/>
        <v/>
      </c>
      <c r="J228" s="48" t="str">
        <f t="shared" si="99"/>
        <v/>
      </c>
      <c r="K228" s="48" t="str">
        <f t="shared" si="99"/>
        <v/>
      </c>
      <c r="L228" s="48">
        <f t="shared" si="99"/>
        <v>1.6499999999999997</v>
      </c>
      <c r="M228" s="48" t="str">
        <f t="shared" si="99"/>
        <v/>
      </c>
      <c r="N228" s="48">
        <f t="shared" si="99"/>
        <v>0.17262016127309071</v>
      </c>
      <c r="O228" s="48" t="str">
        <f t="shared" si="99"/>
        <v/>
      </c>
      <c r="P228" s="53"/>
      <c r="T228" s="42">
        <f>IFERROR(T179/T37*1000,"")</f>
        <v>0.52333736784364771</v>
      </c>
    </row>
    <row r="229" spans="2:20" x14ac:dyDescent="0.3">
      <c r="B229" s="41"/>
    </row>
    <row r="230" spans="2:20" ht="28.8" x14ac:dyDescent="0.3">
      <c r="B230" s="43" t="s">
        <v>47</v>
      </c>
    </row>
    <row r="231" spans="2:20" x14ac:dyDescent="0.3">
      <c r="B231" s="3">
        <v>2016</v>
      </c>
      <c r="C231" s="48">
        <f t="shared" ref="C231:O231" si="100">IFERROR(C186/C40*1000,"")</f>
        <v>1.1384026570269674</v>
      </c>
      <c r="D231" s="48" t="str">
        <f t="shared" si="100"/>
        <v/>
      </c>
      <c r="E231" s="48" t="str">
        <f t="shared" si="100"/>
        <v/>
      </c>
      <c r="F231" s="48" t="str">
        <f t="shared" si="100"/>
        <v/>
      </c>
      <c r="G231" s="48" t="str">
        <f t="shared" si="100"/>
        <v/>
      </c>
      <c r="H231" s="48">
        <f t="shared" si="100"/>
        <v>0.70507456548359604</v>
      </c>
      <c r="I231" s="48">
        <f t="shared" si="100"/>
        <v>2.2907692307692313</v>
      </c>
      <c r="J231" s="48" t="str">
        <f t="shared" si="100"/>
        <v/>
      </c>
      <c r="K231" s="48" t="str">
        <f t="shared" si="100"/>
        <v/>
      </c>
      <c r="L231" s="48">
        <f t="shared" si="100"/>
        <v>1.61</v>
      </c>
      <c r="M231" s="48" t="str">
        <f t="shared" si="100"/>
        <v/>
      </c>
      <c r="N231" s="48" t="str">
        <f t="shared" si="100"/>
        <v/>
      </c>
      <c r="O231" s="48" t="str">
        <f t="shared" si="100"/>
        <v/>
      </c>
      <c r="P231" s="53"/>
      <c r="T231" s="42">
        <f>IFERROR(T186/Inputs_Summary!M72*1000,"")</f>
        <v>2.6584816437790652E-2</v>
      </c>
    </row>
    <row r="232" spans="2:20" x14ac:dyDescent="0.3">
      <c r="B232" s="3">
        <v>2030</v>
      </c>
      <c r="C232" s="48">
        <f t="shared" ref="C232:O232" si="101">IFERROR(C187/C41*1000,"")</f>
        <v>1.1422549996632183</v>
      </c>
      <c r="D232" s="48" t="str">
        <f t="shared" si="101"/>
        <v/>
      </c>
      <c r="E232" s="48" t="str">
        <f t="shared" si="101"/>
        <v/>
      </c>
      <c r="F232" s="48" t="str">
        <f t="shared" si="101"/>
        <v/>
      </c>
      <c r="G232" s="48">
        <f t="shared" si="101"/>
        <v>1.2399999999999998</v>
      </c>
      <c r="H232" s="48">
        <f t="shared" si="101"/>
        <v>0.70507456548359604</v>
      </c>
      <c r="I232" s="48">
        <f t="shared" si="101"/>
        <v>2.2907692307692309</v>
      </c>
      <c r="J232" s="48">
        <f t="shared" si="101"/>
        <v>0.79657730380457303</v>
      </c>
      <c r="K232" s="48">
        <f t="shared" si="101"/>
        <v>0.86389943405407343</v>
      </c>
      <c r="L232" s="48">
        <f t="shared" si="101"/>
        <v>1.61</v>
      </c>
      <c r="M232" s="48" t="str">
        <f t="shared" si="101"/>
        <v/>
      </c>
      <c r="N232" s="48">
        <f t="shared" si="101"/>
        <v>1.0819888431918854</v>
      </c>
      <c r="O232" s="48" t="str">
        <f t="shared" si="101"/>
        <v/>
      </c>
      <c r="P232" s="53"/>
      <c r="T232" s="42">
        <f>IFERROR(T187/Inputs_Summary!M73*1000,"")</f>
        <v>0.32716629801411329</v>
      </c>
    </row>
    <row r="233" spans="2:20" x14ac:dyDescent="0.3">
      <c r="B233" s="3">
        <v>2040</v>
      </c>
      <c r="C233" s="52">
        <f t="shared" ref="C233:O233" si="102">IFERROR(C188/C42*1000,"")</f>
        <v>1.1477972735983717</v>
      </c>
      <c r="D233" s="52" t="str">
        <f t="shared" si="102"/>
        <v/>
      </c>
      <c r="E233" s="52" t="str">
        <f t="shared" si="102"/>
        <v/>
      </c>
      <c r="F233" s="52" t="str">
        <f t="shared" si="102"/>
        <v/>
      </c>
      <c r="G233" s="52">
        <f t="shared" si="102"/>
        <v>1.24</v>
      </c>
      <c r="H233" s="52" t="str">
        <f t="shared" si="102"/>
        <v/>
      </c>
      <c r="I233" s="52">
        <f t="shared" si="102"/>
        <v>2.2907692307692309</v>
      </c>
      <c r="J233" s="52">
        <f t="shared" si="102"/>
        <v>0.79657730380457303</v>
      </c>
      <c r="K233" s="52">
        <f t="shared" si="102"/>
        <v>0.8562197869120679</v>
      </c>
      <c r="L233" s="52">
        <f t="shared" si="102"/>
        <v>1.6100000000000003</v>
      </c>
      <c r="M233" s="52" t="str">
        <f t="shared" si="102"/>
        <v/>
      </c>
      <c r="N233" s="52">
        <f t="shared" si="102"/>
        <v>1.117998955048199</v>
      </c>
      <c r="O233" s="52" t="str">
        <f t="shared" si="102"/>
        <v/>
      </c>
      <c r="P233" s="53"/>
      <c r="T233" s="42">
        <f>IFERROR(T188/Inputs_Summary!M74*1000,"")</f>
        <v>0.2676121062068339</v>
      </c>
    </row>
    <row r="234" spans="2:20" x14ac:dyDescent="0.3">
      <c r="B234" s="3">
        <v>2050</v>
      </c>
      <c r="C234" s="55">
        <f t="shared" ref="C234:O234" si="103">IFERROR(C189/C43*1000,"")</f>
        <v>1.1762432392405162</v>
      </c>
      <c r="D234" s="55" t="str">
        <f t="shared" si="103"/>
        <v/>
      </c>
      <c r="E234" s="55" t="str">
        <f t="shared" si="103"/>
        <v/>
      </c>
      <c r="F234" s="55" t="str">
        <f t="shared" si="103"/>
        <v/>
      </c>
      <c r="G234" s="55">
        <f t="shared" si="103"/>
        <v>1.24</v>
      </c>
      <c r="H234" s="55" t="str">
        <f t="shared" si="103"/>
        <v/>
      </c>
      <c r="I234" s="55" t="str">
        <f t="shared" si="103"/>
        <v/>
      </c>
      <c r="J234" s="55" t="str">
        <f t="shared" si="103"/>
        <v/>
      </c>
      <c r="K234" s="55" t="str">
        <f t="shared" si="103"/>
        <v/>
      </c>
      <c r="L234" s="55" t="str">
        <f t="shared" si="103"/>
        <v/>
      </c>
      <c r="M234" s="55" t="str">
        <f t="shared" si="103"/>
        <v/>
      </c>
      <c r="N234" s="55">
        <f t="shared" si="103"/>
        <v>1.1028811899213753</v>
      </c>
      <c r="O234" s="55" t="str">
        <f t="shared" si="103"/>
        <v/>
      </c>
      <c r="P234" s="53"/>
      <c r="T234" s="42">
        <f>IFERROR(T189/Inputs_Summary!M75*1000,"")</f>
        <v>0.2085199852015136</v>
      </c>
    </row>
    <row r="235" spans="2:20" s="11" customFormat="1" x14ac:dyDescent="0.3"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T235" s="54"/>
    </row>
    <row r="236" spans="2:20" ht="28.8" x14ac:dyDescent="0.3">
      <c r="B236" s="43" t="s">
        <v>49</v>
      </c>
      <c r="T236" s="42"/>
    </row>
    <row r="237" spans="2:20" x14ac:dyDescent="0.3">
      <c r="B237" s="3">
        <v>2016</v>
      </c>
      <c r="C237" s="48" t="str">
        <f t="shared" ref="C237:O237" si="104">IFERROR(C206/C46*1000,"")</f>
        <v/>
      </c>
      <c r="D237" s="48" t="str">
        <f t="shared" si="104"/>
        <v/>
      </c>
      <c r="E237" s="48" t="str">
        <f t="shared" si="104"/>
        <v/>
      </c>
      <c r="F237" s="48" t="str">
        <f t="shared" si="104"/>
        <v/>
      </c>
      <c r="G237" s="48" t="str">
        <f t="shared" si="104"/>
        <v/>
      </c>
      <c r="H237" s="48" t="str">
        <f t="shared" si="104"/>
        <v/>
      </c>
      <c r="I237" s="48" t="str">
        <f t="shared" si="104"/>
        <v/>
      </c>
      <c r="J237" s="48" t="str">
        <f t="shared" si="104"/>
        <v/>
      </c>
      <c r="K237" s="48" t="str">
        <f t="shared" si="104"/>
        <v/>
      </c>
      <c r="L237" s="48" t="str">
        <f t="shared" si="104"/>
        <v/>
      </c>
      <c r="M237" s="48" t="str">
        <f t="shared" si="104"/>
        <v/>
      </c>
      <c r="N237" s="48" t="str">
        <f t="shared" si="104"/>
        <v/>
      </c>
      <c r="O237" s="48" t="str">
        <f t="shared" si="104"/>
        <v/>
      </c>
      <c r="P237" s="53"/>
      <c r="T237" s="42">
        <f>IFERROR(T206/Inputs_Summary!M72*1000,"")</f>
        <v>0</v>
      </c>
    </row>
    <row r="238" spans="2:20" x14ac:dyDescent="0.3">
      <c r="B238" s="3">
        <v>2030</v>
      </c>
      <c r="C238" s="48" t="str">
        <f t="shared" ref="C238:O238" si="105">IFERROR(C207/C47*1000,"")</f>
        <v/>
      </c>
      <c r="D238" s="48" t="str">
        <f t="shared" si="105"/>
        <v/>
      </c>
      <c r="E238" s="48">
        <f t="shared" si="105"/>
        <v>1.5160890057893488</v>
      </c>
      <c r="F238" s="48">
        <f t="shared" si="105"/>
        <v>3.6670413943375286</v>
      </c>
      <c r="G238" s="48" t="str">
        <f t="shared" si="105"/>
        <v/>
      </c>
      <c r="H238" s="48">
        <f t="shared" si="105"/>
        <v>0.59630182354590422</v>
      </c>
      <c r="I238" s="48" t="str">
        <f t="shared" si="105"/>
        <v/>
      </c>
      <c r="J238" s="48">
        <f t="shared" si="105"/>
        <v>0.54464286714493959</v>
      </c>
      <c r="K238" s="48">
        <f t="shared" si="105"/>
        <v>1.6329547844804637</v>
      </c>
      <c r="L238" s="48" t="str">
        <f t="shared" si="105"/>
        <v/>
      </c>
      <c r="M238" s="48" t="str">
        <f t="shared" si="105"/>
        <v/>
      </c>
      <c r="N238" s="48" t="str">
        <f t="shared" si="105"/>
        <v/>
      </c>
      <c r="O238" s="48" t="str">
        <f t="shared" si="105"/>
        <v/>
      </c>
      <c r="P238" s="53"/>
      <c r="T238" s="42">
        <f>IFERROR(T207/Inputs_Summary!M73*1000,"")</f>
        <v>0.1763505375761367</v>
      </c>
    </row>
    <row r="239" spans="2:20" x14ac:dyDescent="0.3">
      <c r="B239" s="3">
        <v>2040</v>
      </c>
      <c r="C239" s="48" t="str">
        <f t="shared" ref="C239:O239" si="106">IFERROR(C208/C48*1000,"")</f>
        <v/>
      </c>
      <c r="D239" s="48" t="str">
        <f t="shared" si="106"/>
        <v/>
      </c>
      <c r="E239" s="48">
        <f t="shared" si="106"/>
        <v>1.4970004994335682</v>
      </c>
      <c r="F239" s="48">
        <f t="shared" si="106"/>
        <v>4.8665718958344826</v>
      </c>
      <c r="G239" s="48">
        <f t="shared" si="106"/>
        <v>1.053238063425189</v>
      </c>
      <c r="H239" s="48">
        <f t="shared" si="106"/>
        <v>0.62358170449091443</v>
      </c>
      <c r="I239" s="48" t="str">
        <f t="shared" si="106"/>
        <v/>
      </c>
      <c r="J239" s="48">
        <f t="shared" si="106"/>
        <v>0.51803808083897374</v>
      </c>
      <c r="K239" s="48">
        <f t="shared" si="106"/>
        <v>1.650415213039826</v>
      </c>
      <c r="L239" s="48" t="str">
        <f t="shared" si="106"/>
        <v/>
      </c>
      <c r="M239" s="48" t="str">
        <f t="shared" si="106"/>
        <v/>
      </c>
      <c r="N239" s="48" t="str">
        <f t="shared" si="106"/>
        <v/>
      </c>
      <c r="O239" s="48" t="str">
        <f t="shared" si="106"/>
        <v/>
      </c>
      <c r="P239" s="53"/>
      <c r="T239" s="42">
        <f>IFERROR(T208/Inputs_Summary!M74*1000,"")</f>
        <v>0.51579197349167472</v>
      </c>
    </row>
    <row r="240" spans="2:20" x14ac:dyDescent="0.3">
      <c r="B240" s="3">
        <v>2050</v>
      </c>
      <c r="C240" s="48">
        <f t="shared" ref="C240:O240" si="107">IFERROR(C209/C49*1000,"")</f>
        <v>1.073198810831284</v>
      </c>
      <c r="D240" s="48" t="str">
        <f t="shared" si="107"/>
        <v/>
      </c>
      <c r="E240" s="48">
        <f t="shared" si="107"/>
        <v>1.5074959778924122</v>
      </c>
      <c r="F240" s="48">
        <f t="shared" si="107"/>
        <v>4.9603165739653692</v>
      </c>
      <c r="G240" s="48">
        <f t="shared" si="107"/>
        <v>1.0371724055385414</v>
      </c>
      <c r="H240" s="48">
        <f t="shared" si="107"/>
        <v>0.63497011941932779</v>
      </c>
      <c r="I240" s="48" t="str">
        <f t="shared" si="107"/>
        <v/>
      </c>
      <c r="J240" s="48">
        <f t="shared" si="107"/>
        <v>0.51353803941872556</v>
      </c>
      <c r="K240" s="48">
        <f t="shared" si="107"/>
        <v>1.6832535675656763</v>
      </c>
      <c r="L240" s="48" t="str">
        <f t="shared" si="107"/>
        <v/>
      </c>
      <c r="M240" s="48" t="str">
        <f t="shared" si="107"/>
        <v/>
      </c>
      <c r="N240" s="48" t="str">
        <f t="shared" si="107"/>
        <v/>
      </c>
      <c r="O240" s="48" t="str">
        <f t="shared" si="107"/>
        <v/>
      </c>
      <c r="P240" s="53"/>
      <c r="T240" s="42">
        <f>IFERROR(T209/Inputs_Summary!M75*1000,"")</f>
        <v>0.69647393960827997</v>
      </c>
    </row>
    <row r="241" spans="2:25" x14ac:dyDescent="0.3">
      <c r="B241" s="41"/>
    </row>
    <row r="242" spans="2:25" ht="28.8" x14ac:dyDescent="0.3">
      <c r="B242" s="43" t="s">
        <v>50</v>
      </c>
      <c r="T242" s="43" t="s">
        <v>75</v>
      </c>
      <c r="U242" s="43" t="s">
        <v>73</v>
      </c>
      <c r="V242" s="43" t="s">
        <v>74</v>
      </c>
    </row>
    <row r="243" spans="2:25" x14ac:dyDescent="0.3">
      <c r="B243" s="3">
        <v>2016</v>
      </c>
      <c r="C243" s="48">
        <f t="shared" ref="C243:O243" si="108">IFERROR(C212/C52*1000,"")</f>
        <v>0.50655526618775526</v>
      </c>
      <c r="D243" s="48">
        <f t="shared" si="108"/>
        <v>0.20487259277908632</v>
      </c>
      <c r="E243" s="48">
        <f t="shared" si="108"/>
        <v>0.95000000000000007</v>
      </c>
      <c r="F243" s="48">
        <f t="shared" si="108"/>
        <v>2.7719237674542714</v>
      </c>
      <c r="G243" s="48">
        <f t="shared" si="108"/>
        <v>0.30000000000000004</v>
      </c>
      <c r="H243" s="48">
        <f t="shared" si="108"/>
        <v>0.90627498841401932</v>
      </c>
      <c r="I243" s="48">
        <f t="shared" si="108"/>
        <v>3.2072892683226946</v>
      </c>
      <c r="J243" s="48">
        <f t="shared" si="108"/>
        <v>1.6999999999999997</v>
      </c>
      <c r="K243" s="48" t="str">
        <f t="shared" si="108"/>
        <v/>
      </c>
      <c r="L243" s="48">
        <f t="shared" si="108"/>
        <v>1.6490506641141827</v>
      </c>
      <c r="M243" s="48" t="str">
        <f t="shared" si="108"/>
        <v/>
      </c>
      <c r="N243" s="48">
        <f t="shared" si="108"/>
        <v>0.15605822366857675</v>
      </c>
      <c r="O243" s="48" t="str">
        <f t="shared" si="108"/>
        <v/>
      </c>
      <c r="P243" s="53"/>
      <c r="T243" s="47">
        <f>IFERROR(T212/Inputs_Summary!M72*1000,"")</f>
        <v>0.53699865540086611</v>
      </c>
      <c r="U243" s="42">
        <f>T243+Inputs_Summary!$M$62</f>
        <v>0.83699865540086615</v>
      </c>
      <c r="V243" s="42">
        <f>U243+Inputs_Summary!M64*T128/T52</f>
        <v>0.94267330167283891</v>
      </c>
    </row>
    <row r="244" spans="2:25" x14ac:dyDescent="0.3">
      <c r="B244" s="3">
        <v>2030</v>
      </c>
      <c r="C244" s="48">
        <f t="shared" ref="C244:O244" si="109">IFERROR(C213/C53*1000,"")</f>
        <v>0.70771427388970065</v>
      </c>
      <c r="D244" s="48">
        <f t="shared" si="109"/>
        <v>0.20562259124151319</v>
      </c>
      <c r="E244" s="48">
        <f t="shared" si="109"/>
        <v>1.4141827100520037</v>
      </c>
      <c r="F244" s="48">
        <f t="shared" si="109"/>
        <v>3.737881902173394</v>
      </c>
      <c r="G244" s="48">
        <f t="shared" si="109"/>
        <v>0.31535923107729269</v>
      </c>
      <c r="H244" s="48">
        <f t="shared" si="109"/>
        <v>0.64468839004443068</v>
      </c>
      <c r="I244" s="48">
        <f t="shared" si="109"/>
        <v>2.4588046262516499</v>
      </c>
      <c r="J244" s="48">
        <f t="shared" si="109"/>
        <v>0.90242797688063314</v>
      </c>
      <c r="K244" s="48">
        <f t="shared" si="109"/>
        <v>1.5091660416736257</v>
      </c>
      <c r="L244" s="48">
        <f t="shared" si="109"/>
        <v>1.63434375</v>
      </c>
      <c r="M244" s="48" t="str">
        <f t="shared" si="109"/>
        <v/>
      </c>
      <c r="N244" s="48">
        <f t="shared" si="109"/>
        <v>0.81350566001322022</v>
      </c>
      <c r="O244" s="48" t="str">
        <f t="shared" si="109"/>
        <v/>
      </c>
      <c r="P244" s="53"/>
      <c r="T244" s="47">
        <f>IFERROR(T213/Inputs_Summary!M73*1000,"")</f>
        <v>0.78516948368792838</v>
      </c>
      <c r="U244" s="42">
        <f>T244+Inputs_Summary!$M$62</f>
        <v>1.0851694836879284</v>
      </c>
      <c r="V244" s="42">
        <f>U244+Inputs_Summary!M65*T129/T53</f>
        <v>1.1660003513013208</v>
      </c>
    </row>
    <row r="245" spans="2:25" x14ac:dyDescent="0.3">
      <c r="B245" s="3">
        <v>2040</v>
      </c>
      <c r="C245" s="48">
        <f t="shared" ref="C245:O245" si="110">IFERROR(C214/C54*1000,"")</f>
        <v>0.91049231112546569</v>
      </c>
      <c r="D245" s="48">
        <f t="shared" si="110"/>
        <v>0.20729158174957649</v>
      </c>
      <c r="E245" s="48">
        <f t="shared" si="110"/>
        <v>1.4557744598505846</v>
      </c>
      <c r="F245" s="48">
        <f t="shared" si="110"/>
        <v>4.8630499273060552</v>
      </c>
      <c r="G245" s="48">
        <f t="shared" si="110"/>
        <v>0.71991138197753479</v>
      </c>
      <c r="H245" s="48">
        <f t="shared" si="110"/>
        <v>0.62358170449091443</v>
      </c>
      <c r="I245" s="48">
        <f t="shared" si="110"/>
        <v>2.4589410312295197</v>
      </c>
      <c r="J245" s="48">
        <f t="shared" si="110"/>
        <v>0.56252095474726382</v>
      </c>
      <c r="K245" s="48">
        <f t="shared" si="110"/>
        <v>1.5192737851362135</v>
      </c>
      <c r="L245" s="48">
        <f t="shared" si="110"/>
        <v>1.6345303030303031</v>
      </c>
      <c r="M245" s="48" t="str">
        <f t="shared" si="110"/>
        <v/>
      </c>
      <c r="N245" s="48">
        <f t="shared" si="110"/>
        <v>0.8320778824253181</v>
      </c>
      <c r="O245" s="48" t="str">
        <f t="shared" si="110"/>
        <v/>
      </c>
      <c r="P245" s="53"/>
      <c r="T245" s="47">
        <f>IFERROR(T214/Inputs_Summary!M74*1000,"")</f>
        <v>0.88604140867744718</v>
      </c>
      <c r="U245" s="42">
        <f>T245+Inputs_Summary!$M$62</f>
        <v>1.1860414086774471</v>
      </c>
      <c r="V245" s="42">
        <f>U245+Inputs_Summary!M66*T130/T54</f>
        <v>1.2267046424213432</v>
      </c>
    </row>
    <row r="246" spans="2:25" x14ac:dyDescent="0.3">
      <c r="B246" s="3">
        <v>2050</v>
      </c>
      <c r="C246" s="48">
        <f t="shared" ref="C246:O246" si="111">IFERROR(C215/C55*1000,"")</f>
        <v>1.1577546992243062</v>
      </c>
      <c r="D246" s="48" t="str">
        <f t="shared" si="111"/>
        <v/>
      </c>
      <c r="E246" s="48">
        <f t="shared" si="111"/>
        <v>1.4739787612829114</v>
      </c>
      <c r="F246" s="48">
        <f t="shared" si="111"/>
        <v>4.9603165739653692</v>
      </c>
      <c r="G246" s="48">
        <f t="shared" si="111"/>
        <v>0.72136009953737146</v>
      </c>
      <c r="H246" s="48">
        <f t="shared" si="111"/>
        <v>0.63497011941932779</v>
      </c>
      <c r="I246" s="48" t="str">
        <f t="shared" si="111"/>
        <v/>
      </c>
      <c r="J246" s="48">
        <f t="shared" si="111"/>
        <v>0.51353803941872556</v>
      </c>
      <c r="K246" s="48">
        <f t="shared" si="111"/>
        <v>1.6832535675656763</v>
      </c>
      <c r="L246" s="48">
        <f t="shared" si="111"/>
        <v>1.6499999999999997</v>
      </c>
      <c r="M246" s="48" t="str">
        <f t="shared" si="111"/>
        <v/>
      </c>
      <c r="N246" s="48">
        <f t="shared" si="111"/>
        <v>0.82528934119703923</v>
      </c>
      <c r="O246" s="48" t="str">
        <f t="shared" si="111"/>
        <v/>
      </c>
      <c r="P246" s="53"/>
      <c r="T246" s="47">
        <f>IFERROR(T215/Inputs_Summary!M75*1000,"")</f>
        <v>0.93016332141792835</v>
      </c>
      <c r="U246" s="42">
        <f>T246+Inputs_Summary!$M$62</f>
        <v>1.2301633214179284</v>
      </c>
      <c r="V246" s="42">
        <f>U246+Inputs_Summary!M67*T131/T55</f>
        <v>1.2621687512686648</v>
      </c>
    </row>
    <row r="247" spans="2:25" s="58" customFormat="1" ht="21" x14ac:dyDescent="0.4">
      <c r="B247" s="59"/>
      <c r="O247" s="3"/>
      <c r="P247" s="11"/>
      <c r="Q247" s="3"/>
      <c r="R247" s="3"/>
    </row>
    <row r="248" spans="2:25" s="9" customFormat="1" ht="21" x14ac:dyDescent="0.4">
      <c r="B248" s="10" t="s">
        <v>131</v>
      </c>
      <c r="Y248" s="86"/>
    </row>
    <row r="249" spans="2:25" x14ac:dyDescent="0.3">
      <c r="Y249" s="12"/>
    </row>
    <row r="250" spans="2:25" ht="28.8" x14ac:dyDescent="0.3">
      <c r="B250" s="43" t="s">
        <v>124</v>
      </c>
      <c r="C250" s="43" t="s">
        <v>0</v>
      </c>
      <c r="D250" s="43" t="s">
        <v>1</v>
      </c>
      <c r="E250" s="43" t="s">
        <v>28</v>
      </c>
      <c r="F250" s="2" t="s">
        <v>29</v>
      </c>
      <c r="G250" s="2" t="s">
        <v>6</v>
      </c>
      <c r="H250" s="43" t="s">
        <v>2</v>
      </c>
      <c r="I250" s="43" t="s">
        <v>3</v>
      </c>
      <c r="J250" s="43" t="s">
        <v>4</v>
      </c>
      <c r="K250" s="43" t="s">
        <v>9</v>
      </c>
      <c r="L250" s="43" t="s">
        <v>8</v>
      </c>
      <c r="M250" s="43" t="s">
        <v>25</v>
      </c>
      <c r="N250" s="43" t="s">
        <v>7</v>
      </c>
      <c r="O250" s="43" t="s">
        <v>89</v>
      </c>
      <c r="P250" s="25"/>
      <c r="Q250" s="43" t="s">
        <v>5</v>
      </c>
      <c r="R250" s="43" t="s">
        <v>91</v>
      </c>
      <c r="T250" s="43" t="s">
        <v>10</v>
      </c>
      <c r="Y250" s="12"/>
    </row>
    <row r="251" spans="2:25" x14ac:dyDescent="0.3">
      <c r="B251" s="3">
        <v>2016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3"/>
      <c r="Q251" s="5">
        <f>G251+N251</f>
        <v>0</v>
      </c>
      <c r="R251" s="5">
        <f>SUM(K251:L251)</f>
        <v>0</v>
      </c>
      <c r="T251" s="5">
        <f>SUM(C251:O251)</f>
        <v>0</v>
      </c>
      <c r="Y251" s="12"/>
    </row>
    <row r="252" spans="2:25" x14ac:dyDescent="0.3">
      <c r="B252" s="3">
        <v>2030</v>
      </c>
      <c r="C252" s="50">
        <f>Inputs_Summary!E$53*((C11+C17))/14/1000</f>
        <v>17416.822857142859</v>
      </c>
      <c r="D252" s="50">
        <f>Inputs_Summary!F$53*((D11+D17))/14/1000</f>
        <v>0</v>
      </c>
      <c r="E252" s="50">
        <f>Inputs_Summary!G$53*((E11+E17))/14/1000</f>
        <v>1223.4857142857143</v>
      </c>
      <c r="F252" s="50">
        <f>Inputs_Summary!H$53*((F11+F17))/14/1000</f>
        <v>1985.6571428571428</v>
      </c>
      <c r="G252" s="50">
        <f>Inputs_Summary!I$53*((G11+G17))/14/1000</f>
        <v>0</v>
      </c>
      <c r="H252" s="50">
        <f>Inputs_Summary!J$53*((H11+H17))/14/1000</f>
        <v>6400</v>
      </c>
      <c r="I252" s="50">
        <f>Inputs_Summary!K$53*((I11+I17))/14/1000</f>
        <v>1578.5714285714287</v>
      </c>
      <c r="J252" s="50">
        <f>Inputs_Summary!L$53*((J11+J17))/14/1000</f>
        <v>2635.9314285714286</v>
      </c>
      <c r="K252" s="50">
        <f>Inputs_Summary!M$53*((K11+K17))/14/1000</f>
        <v>0</v>
      </c>
      <c r="L252" s="50">
        <f>Inputs_Summary!N$53*((L11+L17))/14/1000</f>
        <v>0</v>
      </c>
      <c r="M252" s="50">
        <f>Inputs_Summary!O$53*((M11+M17))/14/1000</f>
        <v>0</v>
      </c>
      <c r="N252" s="50">
        <f>Inputs_Summary!P$53*((N11+N17))/14/1000</f>
        <v>0</v>
      </c>
      <c r="O252" s="50">
        <f>Inputs_Summary!Q$53*((O11+O17))/14/1000</f>
        <v>0</v>
      </c>
      <c r="P252" s="53"/>
      <c r="Q252" s="5">
        <f>G252+N252</f>
        <v>0</v>
      </c>
      <c r="R252" s="5">
        <f>SUM(K252:L252)</f>
        <v>0</v>
      </c>
      <c r="T252" s="5">
        <f>SUM(C252:O252)</f>
        <v>31240.468571428573</v>
      </c>
      <c r="Y252" s="12"/>
    </row>
    <row r="253" spans="2:25" x14ac:dyDescent="0.3">
      <c r="B253" s="3">
        <v>2040</v>
      </c>
      <c r="C253" s="50">
        <f>Inputs_Summary!E$53*((C12+C18))/10/1000</f>
        <v>24383.552</v>
      </c>
      <c r="D253" s="50">
        <f>Inputs_Summary!F$53*((D12+D18))/10/1000</f>
        <v>0</v>
      </c>
      <c r="E253" s="50">
        <f>Inputs_Summary!G$53*((E12+E18))/10/1000</f>
        <v>4453.4880000000003</v>
      </c>
      <c r="F253" s="50">
        <f>Inputs_Summary!H$53*((F12+F18))/10/1000</f>
        <v>8092.6559999999999</v>
      </c>
      <c r="G253" s="50">
        <f>Inputs_Summary!I$53*((G12+G18))/10/1000</f>
        <v>0</v>
      </c>
      <c r="H253" s="50">
        <f>Inputs_Summary!J$53*((H12+H18))/10/1000</f>
        <v>25920</v>
      </c>
      <c r="I253" s="50">
        <f>Inputs_Summary!K$53*((I12+I18))/10/1000</f>
        <v>2210</v>
      </c>
      <c r="J253" s="50">
        <f>Inputs_Summary!L$53*((J12+J18))/10/1000</f>
        <v>17206.304</v>
      </c>
      <c r="K253" s="50">
        <f>Inputs_Summary!M$53*((K12+K18))/10/1000</f>
        <v>0</v>
      </c>
      <c r="L253" s="50">
        <f>Inputs_Summary!N$53*((L12+L18))/10/1000</f>
        <v>0</v>
      </c>
      <c r="M253" s="50">
        <f>Inputs_Summary!O$53*((M12+M18))/10/1000</f>
        <v>0</v>
      </c>
      <c r="N253" s="50">
        <f>Inputs_Summary!P$53*((N12+N18))/10/1000</f>
        <v>0</v>
      </c>
      <c r="O253" s="50">
        <f>Inputs_Summary!Q$53*((O12+O18))/10/1000</f>
        <v>0</v>
      </c>
      <c r="P253" s="53"/>
      <c r="Q253" s="5">
        <f>G253+N253</f>
        <v>0</v>
      </c>
      <c r="R253" s="5">
        <f>SUM(K253:L253)</f>
        <v>0</v>
      </c>
      <c r="T253" s="5">
        <f>SUM(C253:O253)</f>
        <v>82266</v>
      </c>
      <c r="Y253" s="12"/>
    </row>
    <row r="254" spans="2:25" x14ac:dyDescent="0.3">
      <c r="B254" s="3">
        <v>2050</v>
      </c>
      <c r="C254" s="50">
        <f>Inputs_Summary!E$53*((C13+C19))/10/1000</f>
        <v>33972.302000000003</v>
      </c>
      <c r="D254" s="50">
        <f>Inputs_Summary!F$53*((D13+D19))/10/1000</f>
        <v>0</v>
      </c>
      <c r="E254" s="50">
        <f>Inputs_Summary!G$53*((E13+E19))/10/1000</f>
        <v>5823.7920000000004</v>
      </c>
      <c r="F254" s="50">
        <f>Inputs_Summary!H$53*((F13+F19))/10/1000</f>
        <v>10934.352000000001</v>
      </c>
      <c r="G254" s="50">
        <f>Inputs_Summary!I$53*((G13+G19))/10/1000</f>
        <v>0</v>
      </c>
      <c r="H254" s="50">
        <f>Inputs_Summary!J$53*((H13+H19))/10/1000</f>
        <v>36096</v>
      </c>
      <c r="I254" s="50">
        <f>Inputs_Summary!K$53*((I13+I19))/10/1000</f>
        <v>0</v>
      </c>
      <c r="J254" s="50">
        <f>Inputs_Summary!L$53*((J13+J19))/10/1000</f>
        <v>26508.799999999999</v>
      </c>
      <c r="K254" s="50">
        <f>Inputs_Summary!M$53*((K13+K19))/10/1000</f>
        <v>0</v>
      </c>
      <c r="L254" s="50">
        <f>Inputs_Summary!N$53*((L13+L19))/10/1000</f>
        <v>0</v>
      </c>
      <c r="M254" s="50">
        <f>Inputs_Summary!O$53*((M13+M19))/10/1000</f>
        <v>0</v>
      </c>
      <c r="N254" s="50">
        <f>Inputs_Summary!P$53*((N13+N19))/10/1000</f>
        <v>0</v>
      </c>
      <c r="O254" s="50">
        <f>Inputs_Summary!Q$53*((O13+O19))/10/1000</f>
        <v>0</v>
      </c>
      <c r="P254" s="53"/>
      <c r="Q254" s="5">
        <f>G254+N254</f>
        <v>0</v>
      </c>
      <c r="R254" s="5">
        <f>SUM(K254:L254)</f>
        <v>0</v>
      </c>
      <c r="T254" s="5">
        <f>SUM(C254:O254)</f>
        <v>113335.246</v>
      </c>
      <c r="Y254" s="12"/>
    </row>
    <row r="255" spans="2:25" x14ac:dyDescent="0.3">
      <c r="B255" s="41"/>
      <c r="Y255" s="12"/>
    </row>
    <row r="256" spans="2:25" ht="28.8" x14ac:dyDescent="0.3">
      <c r="B256" s="43" t="s">
        <v>125</v>
      </c>
      <c r="C256" s="43" t="s">
        <v>0</v>
      </c>
      <c r="D256" s="43" t="s">
        <v>1</v>
      </c>
      <c r="E256" s="43" t="s">
        <v>28</v>
      </c>
      <c r="F256" s="2" t="s">
        <v>29</v>
      </c>
      <c r="G256" s="2" t="s">
        <v>6</v>
      </c>
      <c r="H256" s="43" t="s">
        <v>2</v>
      </c>
      <c r="I256" s="43" t="s">
        <v>3</v>
      </c>
      <c r="J256" s="43" t="s">
        <v>4</v>
      </c>
      <c r="K256" s="43" t="s">
        <v>9</v>
      </c>
      <c r="L256" s="43" t="s">
        <v>8</v>
      </c>
      <c r="M256" s="43" t="s">
        <v>25</v>
      </c>
      <c r="N256" s="43" t="s">
        <v>7</v>
      </c>
      <c r="O256" s="43" t="s">
        <v>89</v>
      </c>
      <c r="P256" s="25"/>
      <c r="Q256" s="43" t="s">
        <v>5</v>
      </c>
      <c r="R256" s="43" t="s">
        <v>91</v>
      </c>
      <c r="T256" s="43" t="s">
        <v>10</v>
      </c>
      <c r="Y256" s="12"/>
    </row>
    <row r="257" spans="2:25" x14ac:dyDescent="0.3">
      <c r="B257" s="3">
        <v>2016</v>
      </c>
      <c r="C257" s="50">
        <f>C52*Inputs_Summary!E$54/1000</f>
        <v>47107.164827120068</v>
      </c>
      <c r="D257" s="50">
        <f>D52*Inputs_Summary!F$54/1000</f>
        <v>1194.2541863648376</v>
      </c>
      <c r="E257" s="50">
        <f>E52*Inputs_Summary!G$54/1000</f>
        <v>24.194456191623686</v>
      </c>
      <c r="F257" s="50">
        <f>F52*Inputs_Summary!H$54/1000</f>
        <v>64.778037480530941</v>
      </c>
      <c r="G257" s="50">
        <f>G52*Inputs_Summary!I$54/1000</f>
        <v>0</v>
      </c>
      <c r="H257" s="50">
        <f>H52*Inputs_Summary!J$54/1000</f>
        <v>539.58062264825435</v>
      </c>
      <c r="I257" s="50">
        <f>I52*Inputs_Summary!K$54/1000</f>
        <v>118.48109129456755</v>
      </c>
      <c r="J257" s="50">
        <f>J52*Inputs_Summary!L$54/1000</f>
        <v>290.29948580609926</v>
      </c>
      <c r="K257" s="50">
        <f>K52*Inputs_Summary!M$54/1000</f>
        <v>0</v>
      </c>
      <c r="L257" s="50">
        <f>L52*Inputs_Summary!N$54/1000</f>
        <v>0</v>
      </c>
      <c r="M257" s="50">
        <f>M52*Inputs_Summary!O$54/1000</f>
        <v>0</v>
      </c>
      <c r="N257" s="50">
        <f>N52*Inputs_Summary!P$54/1000</f>
        <v>0</v>
      </c>
      <c r="O257" s="50">
        <f>O52*Inputs_Summary!Q$54/1000</f>
        <v>0</v>
      </c>
      <c r="P257" s="53"/>
      <c r="Q257" s="5">
        <f>G257+N257</f>
        <v>0</v>
      </c>
      <c r="R257" s="5">
        <f>SUM(K257:L257)</f>
        <v>0</v>
      </c>
      <c r="T257" s="5">
        <f>SUM(C257:O257)</f>
        <v>49338.75270690598</v>
      </c>
      <c r="Y257" s="12"/>
    </row>
    <row r="258" spans="2:25" x14ac:dyDescent="0.3">
      <c r="B258" s="3">
        <v>2030</v>
      </c>
      <c r="C258" s="50">
        <f>C53*Inputs_Summary!E$54/1000</f>
        <v>46448.451173587448</v>
      </c>
      <c r="D258" s="50">
        <f>D53*Inputs_Summary!F$54/1000</f>
        <v>1183.4301694492754</v>
      </c>
      <c r="E258" s="50">
        <f>E53*Inputs_Summary!G$54/1000</f>
        <v>395.62318502369271</v>
      </c>
      <c r="F258" s="50">
        <f>F53*Inputs_Summary!H$54/1000</f>
        <v>101.182400261814</v>
      </c>
      <c r="G258" s="50">
        <f>G53*Inputs_Summary!I$54/1000</f>
        <v>0</v>
      </c>
      <c r="H258" s="50">
        <f>H53*Inputs_Summary!J$54/1000</f>
        <v>5886.979724265082</v>
      </c>
      <c r="I258" s="50">
        <f>I53*Inputs_Summary!K$54/1000</f>
        <v>657.02261218394653</v>
      </c>
      <c r="J258" s="50">
        <f>J53*Inputs_Summary!L$54/1000</f>
        <v>1114.9137727235989</v>
      </c>
      <c r="K258" s="50">
        <f>K53*Inputs_Summary!M$54/1000</f>
        <v>0</v>
      </c>
      <c r="L258" s="50">
        <f>L53*Inputs_Summary!N$54/1000</f>
        <v>0</v>
      </c>
      <c r="M258" s="50">
        <f>M53*Inputs_Summary!O$54/1000</f>
        <v>0</v>
      </c>
      <c r="N258" s="50">
        <f>N53*Inputs_Summary!P$54/1000</f>
        <v>0</v>
      </c>
      <c r="O258" s="50">
        <f>O53*Inputs_Summary!Q$54/1000</f>
        <v>0</v>
      </c>
      <c r="P258" s="53"/>
      <c r="Q258" s="5">
        <f>G258+N258</f>
        <v>0</v>
      </c>
      <c r="R258" s="5">
        <f>SUM(K258:L258)</f>
        <v>0</v>
      </c>
      <c r="T258" s="5">
        <f>SUM(C258:O258)</f>
        <v>55787.60303749486</v>
      </c>
      <c r="Y258" s="12"/>
    </row>
    <row r="259" spans="2:25" x14ac:dyDescent="0.3">
      <c r="B259" s="3">
        <v>2040</v>
      </c>
      <c r="C259" s="50">
        <f>C54*Inputs_Summary!E$54/1000</f>
        <v>24993.249998609728</v>
      </c>
      <c r="D259" s="50">
        <f>D54*Inputs_Summary!F$54/1000</f>
        <v>1160.0334115210715</v>
      </c>
      <c r="E259" s="50">
        <f>E54*Inputs_Summary!G$54/1000</f>
        <v>959.79189801140728</v>
      </c>
      <c r="F259" s="50">
        <f>F54*Inputs_Summary!H$54/1000</f>
        <v>170.96102378614145</v>
      </c>
      <c r="G259" s="50">
        <f>G54*Inputs_Summary!I$54/1000</f>
        <v>0</v>
      </c>
      <c r="H259" s="50">
        <f>H54*Inputs_Summary!J$54/1000</f>
        <v>14893.73394554958</v>
      </c>
      <c r="I259" s="50">
        <f>I54*Inputs_Summary!K$54/1000</f>
        <v>658.888847017888</v>
      </c>
      <c r="J259" s="50">
        <f>J54*Inputs_Summary!L$54/1000</f>
        <v>3906.1842330309692</v>
      </c>
      <c r="K259" s="50">
        <f>K54*Inputs_Summary!M$54/1000</f>
        <v>0</v>
      </c>
      <c r="L259" s="50">
        <f>L54*Inputs_Summary!N$54/1000</f>
        <v>0</v>
      </c>
      <c r="M259" s="50">
        <f>M54*Inputs_Summary!O$54/1000</f>
        <v>0</v>
      </c>
      <c r="N259" s="50">
        <f>N54*Inputs_Summary!P$54/1000</f>
        <v>0</v>
      </c>
      <c r="O259" s="50">
        <f>O54*Inputs_Summary!Q$54/1000</f>
        <v>0</v>
      </c>
      <c r="P259" s="53"/>
      <c r="Q259" s="5">
        <f>G259+N259</f>
        <v>0</v>
      </c>
      <c r="R259" s="5">
        <f>SUM(K259:L259)</f>
        <v>0</v>
      </c>
      <c r="T259" s="5">
        <f>SUM(C259:O259)</f>
        <v>46742.843357526785</v>
      </c>
      <c r="Y259" s="12"/>
    </row>
    <row r="260" spans="2:25" x14ac:dyDescent="0.3">
      <c r="B260" s="3">
        <v>2050</v>
      </c>
      <c r="C260" s="50">
        <f>C55*Inputs_Summary!E$54/1000</f>
        <v>20808.867708367336</v>
      </c>
      <c r="D260" s="50">
        <f>D55*Inputs_Summary!F$54/1000</f>
        <v>0</v>
      </c>
      <c r="E260" s="50">
        <f>E55*Inputs_Summary!G$54/1000</f>
        <v>1200.3198867319795</v>
      </c>
      <c r="F260" s="50">
        <f>F55*Inputs_Summary!H$54/1000</f>
        <v>221.08499175298863</v>
      </c>
      <c r="G260" s="50">
        <f>G55*Inputs_Summary!I$54/1000</f>
        <v>0</v>
      </c>
      <c r="H260" s="50">
        <f>H55*Inputs_Summary!J$54/1000</f>
        <v>20368.908086301224</v>
      </c>
      <c r="I260" s="50">
        <f>I55*Inputs_Summary!K$54/1000</f>
        <v>0</v>
      </c>
      <c r="J260" s="50">
        <f>J55*Inputs_Summary!L$54/1000</f>
        <v>5560.9824020679307</v>
      </c>
      <c r="K260" s="50">
        <f>K55*Inputs_Summary!M$54/1000</f>
        <v>0</v>
      </c>
      <c r="L260" s="50">
        <f>L55*Inputs_Summary!N$54/1000</f>
        <v>0</v>
      </c>
      <c r="M260" s="50">
        <f>M55*Inputs_Summary!O$54/1000</f>
        <v>0</v>
      </c>
      <c r="N260" s="50">
        <f>N55*Inputs_Summary!P$54/1000</f>
        <v>0</v>
      </c>
      <c r="O260" s="50">
        <f>O55*Inputs_Summary!Q$54/1000</f>
        <v>0</v>
      </c>
      <c r="P260" s="53"/>
      <c r="Q260" s="5">
        <f>G260+N260</f>
        <v>0</v>
      </c>
      <c r="R260" s="5">
        <f>SUM(K260:L260)</f>
        <v>0</v>
      </c>
      <c r="T260" s="5">
        <f>SUM(C260:O260)</f>
        <v>48160.163075221462</v>
      </c>
      <c r="Y260" s="12"/>
    </row>
    <row r="261" spans="2:25" x14ac:dyDescent="0.3">
      <c r="B261" s="11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11"/>
      <c r="R261" s="11"/>
      <c r="Y261" s="12"/>
    </row>
    <row r="262" spans="2:25" ht="28.8" x14ac:dyDescent="0.3">
      <c r="B262" s="43" t="s">
        <v>126</v>
      </c>
      <c r="C262" s="43" t="s">
        <v>0</v>
      </c>
      <c r="D262" s="43" t="s">
        <v>1</v>
      </c>
      <c r="E262" s="43" t="s">
        <v>28</v>
      </c>
      <c r="F262" s="2" t="s">
        <v>29</v>
      </c>
      <c r="G262" s="2" t="s">
        <v>6</v>
      </c>
      <c r="H262" s="43" t="s">
        <v>2</v>
      </c>
      <c r="I262" s="43" t="s">
        <v>3</v>
      </c>
      <c r="J262" s="43" t="s">
        <v>4</v>
      </c>
      <c r="K262" s="43" t="s">
        <v>9</v>
      </c>
      <c r="L262" s="43" t="s">
        <v>8</v>
      </c>
      <c r="M262" s="43" t="s">
        <v>25</v>
      </c>
      <c r="N262" s="43" t="s">
        <v>7</v>
      </c>
      <c r="O262" s="43" t="s">
        <v>89</v>
      </c>
      <c r="P262" s="25"/>
      <c r="Q262" s="43" t="s">
        <v>5</v>
      </c>
      <c r="R262" s="43" t="s">
        <v>91</v>
      </c>
      <c r="T262" s="43" t="s">
        <v>10</v>
      </c>
      <c r="Y262" s="12"/>
    </row>
    <row r="263" spans="2:25" x14ac:dyDescent="0.3">
      <c r="B263" s="3">
        <v>2016</v>
      </c>
      <c r="C263" s="50">
        <v>0</v>
      </c>
      <c r="D263" s="50">
        <v>0</v>
      </c>
      <c r="E263" s="50">
        <v>0</v>
      </c>
      <c r="F263" s="50">
        <v>0</v>
      </c>
      <c r="G263" s="50">
        <v>0</v>
      </c>
      <c r="H263" s="50">
        <v>0</v>
      </c>
      <c r="I263" s="50">
        <v>0</v>
      </c>
      <c r="J263" s="50">
        <v>0</v>
      </c>
      <c r="K263" s="50">
        <v>0</v>
      </c>
      <c r="L263" s="50">
        <v>0</v>
      </c>
      <c r="M263" s="50">
        <v>0</v>
      </c>
      <c r="N263" s="50">
        <v>0</v>
      </c>
      <c r="O263" s="50">
        <v>0</v>
      </c>
      <c r="P263" s="53"/>
      <c r="Q263" s="5">
        <f>G263+N263</f>
        <v>0</v>
      </c>
      <c r="R263" s="5">
        <f>SUM(K263:L263)</f>
        <v>0</v>
      </c>
      <c r="T263" s="5">
        <f>SUM(C263:O263)</f>
        <v>0</v>
      </c>
      <c r="Y263" s="12"/>
    </row>
    <row r="264" spans="2:25" x14ac:dyDescent="0.3">
      <c r="B264" s="3">
        <v>2030</v>
      </c>
      <c r="C264" s="50">
        <f>Inputs_Summary!E$56*((C11+C17)-(C10+C16))/14/1000</f>
        <v>3771.1328571428571</v>
      </c>
      <c r="D264" s="50">
        <f>Inputs_Summary!F$56*((D11+D17)-(D10+D16))/14/1000</f>
        <v>0</v>
      </c>
      <c r="E264" s="50">
        <f>Inputs_Summary!G$56*((E11+E17)-(E10+E16))/14/1000</f>
        <v>209.14285714285714</v>
      </c>
      <c r="F264" s="50">
        <f>Inputs_Summary!H$56*((F11+F17)-(F10+F16))/14/1000</f>
        <v>339.42857142857144</v>
      </c>
      <c r="G264" s="50">
        <f>Inputs_Summary!I$56*((G11+G17)-(G10+G16))/14/1000</f>
        <v>0</v>
      </c>
      <c r="H264" s="50">
        <f>Inputs_Summary!J$56*((H11+H17)-(H10+H16))/14/1000</f>
        <v>4351.6000000000004</v>
      </c>
      <c r="I264" s="50">
        <f>Inputs_Summary!K$56*((I11+I17)-(I10+I16))/14/1000</f>
        <v>546.42857142857144</v>
      </c>
      <c r="J264" s="50">
        <f>Inputs_Summary!L$56*((J11+J17)-(J10+J16))/14/1000</f>
        <v>1487.2457142857143</v>
      </c>
      <c r="K264" s="50">
        <f>Inputs_Summary!M$56*((K11+K17)-(K10+K16))/14/1000</f>
        <v>0</v>
      </c>
      <c r="L264" s="50">
        <f>Inputs_Summary!N$56*((L11+L17)-(L10+L16))/14/1000</f>
        <v>0</v>
      </c>
      <c r="M264" s="50">
        <f>Inputs_Summary!O$56*((M11+M17)-(M10+M16))/14/1000</f>
        <v>0</v>
      </c>
      <c r="N264" s="50">
        <f>Inputs_Summary!P$56*((N11+N17)-(N10+N16))/14/1000</f>
        <v>0</v>
      </c>
      <c r="O264" s="50">
        <f>Inputs_Summary!Q$56*((O11+O17)-(O10+O16))/14/1000</f>
        <v>0</v>
      </c>
      <c r="P264" s="53"/>
      <c r="Q264" s="5">
        <f>G264+N264</f>
        <v>0</v>
      </c>
      <c r="R264" s="5">
        <f>SUM(K264:L264)</f>
        <v>0</v>
      </c>
      <c r="T264" s="5">
        <f>SUM(C264:O264)</f>
        <v>10704.978571428572</v>
      </c>
      <c r="Y264" s="12"/>
    </row>
    <row r="265" spans="2:25" x14ac:dyDescent="0.3">
      <c r="B265" s="3">
        <v>2040</v>
      </c>
      <c r="C265" s="50">
        <f>Inputs_Summary!E$56*((C12+C18))/10/1000</f>
        <v>5712.0640000000003</v>
      </c>
      <c r="D265" s="50">
        <f>Inputs_Summary!F$56*((D12+D18))/10/1000</f>
        <v>0</v>
      </c>
      <c r="E265" s="50">
        <f>Inputs_Summary!G$56*((E12+E18))/10/1000</f>
        <v>761.28</v>
      </c>
      <c r="F265" s="50">
        <f>Inputs_Summary!H$56*((F12+F18))/10/1000</f>
        <v>1383.36</v>
      </c>
      <c r="G265" s="50">
        <f>Inputs_Summary!I$56*((G12+G18))/10/1000</f>
        <v>0</v>
      </c>
      <c r="H265" s="50">
        <f>Inputs_Summary!J$56*((H12+H18))/10/1000</f>
        <v>17820</v>
      </c>
      <c r="I265" s="50">
        <f>Inputs_Summary!K$56*((I12+I18))/10/1000</f>
        <v>765</v>
      </c>
      <c r="J265" s="50">
        <f>Inputs_Summary!L$56*((J12+J18))/10/1000</f>
        <v>9708.1440000000002</v>
      </c>
      <c r="K265" s="50">
        <f>Inputs_Summary!M$56*((K12+K18))/10/1000</f>
        <v>0</v>
      </c>
      <c r="L265" s="50">
        <f>Inputs_Summary!N$56*((L12+L18))/10/1000</f>
        <v>0</v>
      </c>
      <c r="M265" s="50">
        <f>Inputs_Summary!O$56*((M12+M18))/10/1000</f>
        <v>0</v>
      </c>
      <c r="N265" s="50">
        <f>Inputs_Summary!P$56*((N12+N18))/10/1000</f>
        <v>0</v>
      </c>
      <c r="O265" s="50">
        <f>Inputs_Summary!Q$56*((O12+O18))/10/1000</f>
        <v>0</v>
      </c>
      <c r="P265" s="53"/>
      <c r="Q265" s="5">
        <f>G265+N265</f>
        <v>0</v>
      </c>
      <c r="R265" s="5">
        <f>SUM(K265:L265)</f>
        <v>0</v>
      </c>
      <c r="T265" s="5">
        <f>SUM(C265:O265)</f>
        <v>36149.847999999998</v>
      </c>
      <c r="Y265" s="12"/>
    </row>
    <row r="266" spans="2:25" x14ac:dyDescent="0.3">
      <c r="B266" s="3">
        <v>2050</v>
      </c>
      <c r="C266" s="50">
        <f>Inputs_Summary!E$56*((C13+C19))/10/1000</f>
        <v>7958.3140000000003</v>
      </c>
      <c r="D266" s="50">
        <f>Inputs_Summary!F$56*((D13+D19))/10/1000</f>
        <v>0</v>
      </c>
      <c r="E266" s="50">
        <f>Inputs_Summary!G$56*((E13+E19))/10/1000</f>
        <v>995.52</v>
      </c>
      <c r="F266" s="50">
        <f>Inputs_Summary!H$56*((F13+F19))/10/1000</f>
        <v>1869.12</v>
      </c>
      <c r="G266" s="50">
        <f>Inputs_Summary!I$56*((G13+G19))/10/1000</f>
        <v>0</v>
      </c>
      <c r="H266" s="50">
        <f>Inputs_Summary!J$56*((H13+H19))/10/1000</f>
        <v>24816</v>
      </c>
      <c r="I266" s="50">
        <f>Inputs_Summary!K$56*((I13+I19))/10/1000</f>
        <v>0</v>
      </c>
      <c r="J266" s="50">
        <f>Inputs_Summary!L$56*((J13+J19))/10/1000</f>
        <v>14956.8</v>
      </c>
      <c r="K266" s="50">
        <f>Inputs_Summary!M$56*((K13+K19))/10/1000</f>
        <v>0</v>
      </c>
      <c r="L266" s="50">
        <f>Inputs_Summary!N$56*((L13+L19))/10/1000</f>
        <v>0</v>
      </c>
      <c r="M266" s="50">
        <f>Inputs_Summary!O$56*((M13+M19))/10/1000</f>
        <v>0</v>
      </c>
      <c r="N266" s="50">
        <f>Inputs_Summary!P$56*((N13+N19))/10/1000</f>
        <v>0</v>
      </c>
      <c r="O266" s="50">
        <f>Inputs_Summary!Q$56*((O13+O19))/10/1000</f>
        <v>0</v>
      </c>
      <c r="P266" s="53"/>
      <c r="Q266" s="5">
        <f>G266+N266</f>
        <v>0</v>
      </c>
      <c r="R266" s="5">
        <f>SUM(K266:L266)</f>
        <v>0</v>
      </c>
      <c r="T266" s="5">
        <f>SUM(C266:O266)</f>
        <v>50595.754000000001</v>
      </c>
      <c r="Y266" s="12"/>
    </row>
    <row r="267" spans="2:25" x14ac:dyDescent="0.3">
      <c r="B267" s="41"/>
      <c r="Y267" s="12"/>
    </row>
    <row r="268" spans="2:25" ht="28.8" x14ac:dyDescent="0.3">
      <c r="B268" s="43" t="s">
        <v>127</v>
      </c>
      <c r="C268" s="43" t="s">
        <v>0</v>
      </c>
      <c r="D268" s="43" t="s">
        <v>1</v>
      </c>
      <c r="E268" s="43" t="s">
        <v>28</v>
      </c>
      <c r="F268" s="2" t="s">
        <v>29</v>
      </c>
      <c r="G268" s="2" t="s">
        <v>6</v>
      </c>
      <c r="H268" s="43" t="s">
        <v>2</v>
      </c>
      <c r="I268" s="43" t="s">
        <v>3</v>
      </c>
      <c r="J268" s="43" t="s">
        <v>4</v>
      </c>
      <c r="K268" s="43" t="s">
        <v>9</v>
      </c>
      <c r="L268" s="43" t="s">
        <v>8</v>
      </c>
      <c r="M268" s="43" t="s">
        <v>25</v>
      </c>
      <c r="N268" s="43" t="s">
        <v>7</v>
      </c>
      <c r="O268" s="43" t="s">
        <v>89</v>
      </c>
      <c r="P268" s="25"/>
      <c r="Q268" s="43" t="s">
        <v>5</v>
      </c>
      <c r="R268" s="43" t="s">
        <v>91</v>
      </c>
      <c r="T268" s="43" t="s">
        <v>10</v>
      </c>
      <c r="Y268" s="12"/>
    </row>
    <row r="269" spans="2:25" x14ac:dyDescent="0.3">
      <c r="B269" s="38"/>
      <c r="C269" s="50">
        <f>C52*Inputs_Summary!E$57/1000</f>
        <v>29441.978016950041</v>
      </c>
      <c r="D269" s="50">
        <f>D52*Inputs_Summary!F$57/1000</f>
        <v>176.92654612812407</v>
      </c>
      <c r="E269" s="50">
        <f>E52*Inputs_Summary!G$57/1000</f>
        <v>4.5364605359294412</v>
      </c>
      <c r="F269" s="50">
        <f>F52*Inputs_Summary!H$57/1000</f>
        <v>12.145882027599551</v>
      </c>
      <c r="G269" s="50">
        <f>G52*Inputs_Summary!I$57/1000</f>
        <v>0</v>
      </c>
      <c r="H269" s="50">
        <f>H52*Inputs_Summary!J$57/1000</f>
        <v>17.986020754941812</v>
      </c>
      <c r="I269" s="50">
        <f>I52*Inputs_Summary!K$57/1000</f>
        <v>13.670895149373179</v>
      </c>
      <c r="J269" s="50">
        <f>J52*Inputs_Summary!L$57/1000</f>
        <v>47.503552222816239</v>
      </c>
      <c r="K269" s="50">
        <f>K52*Inputs_Summary!M$57/1000</f>
        <v>0</v>
      </c>
      <c r="L269" s="50">
        <f>L52*Inputs_Summary!N$57/1000</f>
        <v>0</v>
      </c>
      <c r="M269" s="50">
        <f>M52*Inputs_Summary!O$57/1000</f>
        <v>0</v>
      </c>
      <c r="N269" s="50">
        <f>N52*Inputs_Summary!P$57/1000</f>
        <v>0</v>
      </c>
      <c r="O269" s="50">
        <f>O52*Inputs_Summary!Q$57/1000</f>
        <v>0</v>
      </c>
      <c r="P269" s="53"/>
      <c r="Q269" s="5">
        <f>G269+N269</f>
        <v>0</v>
      </c>
      <c r="R269" s="5">
        <f>SUM(K269:L269)</f>
        <v>0</v>
      </c>
      <c r="T269" s="5">
        <f>SUM(C269:O269)</f>
        <v>29714.747373768827</v>
      </c>
      <c r="Y269" s="12"/>
    </row>
    <row r="270" spans="2:25" x14ac:dyDescent="0.3">
      <c r="C270" s="50">
        <f>C53*Inputs_Summary!E$57/1000</f>
        <v>29030.281983492157</v>
      </c>
      <c r="D270" s="50">
        <f>D53*Inputs_Summary!F$57/1000</f>
        <v>175.3229880665593</v>
      </c>
      <c r="E270" s="50">
        <f>E53*Inputs_Summary!G$57/1000</f>
        <v>74.179347191942384</v>
      </c>
      <c r="F270" s="50">
        <f>F53*Inputs_Summary!H$57/1000</f>
        <v>18.971700049090124</v>
      </c>
      <c r="G270" s="50">
        <f>G53*Inputs_Summary!I$57/1000</f>
        <v>0</v>
      </c>
      <c r="H270" s="50">
        <f>H53*Inputs_Summary!J$57/1000</f>
        <v>196.23265747550272</v>
      </c>
      <c r="I270" s="50">
        <f>I53*Inputs_Summary!K$57/1000</f>
        <v>75.810301405839979</v>
      </c>
      <c r="J270" s="50">
        <f>J53*Inputs_Summary!L$57/1000</f>
        <v>182.44043553658892</v>
      </c>
      <c r="K270" s="50">
        <f>K53*Inputs_Summary!M$57/1000</f>
        <v>0</v>
      </c>
      <c r="L270" s="50">
        <f>L53*Inputs_Summary!N$57/1000</f>
        <v>0</v>
      </c>
      <c r="M270" s="50">
        <f>M53*Inputs_Summary!O$57/1000</f>
        <v>0</v>
      </c>
      <c r="N270" s="50">
        <f>N53*Inputs_Summary!P$57/1000</f>
        <v>0</v>
      </c>
      <c r="O270" s="50">
        <f>O53*Inputs_Summary!Q$57/1000</f>
        <v>0</v>
      </c>
      <c r="P270" s="53"/>
      <c r="Q270" s="5">
        <f>G270+N270</f>
        <v>0</v>
      </c>
      <c r="R270" s="5">
        <f>SUM(K270:L270)</f>
        <v>0</v>
      </c>
      <c r="T270" s="5">
        <f>SUM(C270:O270)</f>
        <v>29753.239413217678</v>
      </c>
      <c r="Y270" s="12"/>
    </row>
    <row r="271" spans="2:25" x14ac:dyDescent="0.3">
      <c r="C271" s="50">
        <f>C54*Inputs_Summary!E$57/1000</f>
        <v>15620.78124913108</v>
      </c>
      <c r="D271" s="50">
        <f>D54*Inputs_Summary!F$57/1000</f>
        <v>171.85680170682542</v>
      </c>
      <c r="E271" s="50">
        <f>E54*Inputs_Summary!G$57/1000</f>
        <v>179.96098087713884</v>
      </c>
      <c r="F271" s="50">
        <f>F54*Inputs_Summary!H$57/1000</f>
        <v>32.055191959901521</v>
      </c>
      <c r="G271" s="50">
        <f>G54*Inputs_Summary!I$57/1000</f>
        <v>0</v>
      </c>
      <c r="H271" s="50">
        <f>H54*Inputs_Summary!J$57/1000</f>
        <v>496.45779818498607</v>
      </c>
      <c r="I271" s="50">
        <f>I54*Inputs_Summary!K$57/1000</f>
        <v>76.025636194371685</v>
      </c>
      <c r="J271" s="50">
        <f>J54*Inputs_Summary!L$57/1000</f>
        <v>639.19378358688584</v>
      </c>
      <c r="K271" s="50">
        <f>K54*Inputs_Summary!M$57/1000</f>
        <v>0</v>
      </c>
      <c r="L271" s="50">
        <f>L54*Inputs_Summary!N$57/1000</f>
        <v>0</v>
      </c>
      <c r="M271" s="50">
        <f>M54*Inputs_Summary!O$57/1000</f>
        <v>0</v>
      </c>
      <c r="N271" s="50">
        <f>N54*Inputs_Summary!P$57/1000</f>
        <v>0</v>
      </c>
      <c r="O271" s="50">
        <f>O54*Inputs_Summary!Q$57/1000</f>
        <v>0</v>
      </c>
      <c r="P271" s="53"/>
      <c r="Q271" s="5">
        <f>G271+N271</f>
        <v>0</v>
      </c>
      <c r="R271" s="5">
        <f>SUM(K271:L271)</f>
        <v>0</v>
      </c>
      <c r="T271" s="5">
        <f>SUM(C271:O271)</f>
        <v>17216.331441641189</v>
      </c>
      <c r="Y271" s="12"/>
    </row>
    <row r="272" spans="2:25" x14ac:dyDescent="0.3">
      <c r="C272" s="50">
        <f>C55*Inputs_Summary!E$57/1000</f>
        <v>13005.542317729585</v>
      </c>
      <c r="D272" s="50">
        <f>D55*Inputs_Summary!F$57/1000</f>
        <v>0</v>
      </c>
      <c r="E272" s="50">
        <f>E55*Inputs_Summary!G$57/1000</f>
        <v>225.05997876224615</v>
      </c>
      <c r="F272" s="50">
        <f>F55*Inputs_Summary!H$57/1000</f>
        <v>41.453435953685364</v>
      </c>
      <c r="G272" s="50">
        <f>G55*Inputs_Summary!I$57/1000</f>
        <v>0</v>
      </c>
      <c r="H272" s="50">
        <f>H55*Inputs_Summary!J$57/1000</f>
        <v>678.96360287670745</v>
      </c>
      <c r="I272" s="50">
        <f>I55*Inputs_Summary!K$57/1000</f>
        <v>0</v>
      </c>
      <c r="J272" s="50">
        <f>J55*Inputs_Summary!L$57/1000</f>
        <v>909.97893852020684</v>
      </c>
      <c r="K272" s="50">
        <f>K55*Inputs_Summary!M$57/1000</f>
        <v>0</v>
      </c>
      <c r="L272" s="50">
        <f>L55*Inputs_Summary!N$57/1000</f>
        <v>0</v>
      </c>
      <c r="M272" s="50">
        <f>M55*Inputs_Summary!O$57/1000</f>
        <v>0</v>
      </c>
      <c r="N272" s="50">
        <f>N55*Inputs_Summary!P$57/1000</f>
        <v>0</v>
      </c>
      <c r="O272" s="50">
        <f>O55*Inputs_Summary!Q$57/1000</f>
        <v>0</v>
      </c>
      <c r="P272" s="53"/>
      <c r="Q272" s="5">
        <f>G272+N272</f>
        <v>0</v>
      </c>
      <c r="R272" s="5">
        <f>SUM(K272:L272)</f>
        <v>0</v>
      </c>
      <c r="T272" s="5">
        <f>SUM(C272:O272)</f>
        <v>14860.998273842431</v>
      </c>
      <c r="Y272" s="60"/>
    </row>
    <row r="273" spans="2:37" x14ac:dyDescent="0.3">
      <c r="B273" s="41"/>
      <c r="Y273" s="12"/>
    </row>
    <row r="274" spans="2:37" ht="28.8" x14ac:dyDescent="0.3">
      <c r="B274" s="43" t="s">
        <v>123</v>
      </c>
      <c r="C274" s="43" t="s">
        <v>0</v>
      </c>
      <c r="D274" s="43" t="s">
        <v>1</v>
      </c>
      <c r="E274" s="43" t="s">
        <v>28</v>
      </c>
      <c r="F274" s="2" t="s">
        <v>29</v>
      </c>
      <c r="G274" s="2" t="s">
        <v>6</v>
      </c>
      <c r="H274" s="43" t="s">
        <v>2</v>
      </c>
      <c r="I274" s="43" t="s">
        <v>3</v>
      </c>
      <c r="J274" s="43" t="s">
        <v>4</v>
      </c>
      <c r="K274" s="43" t="s">
        <v>9</v>
      </c>
      <c r="L274" s="43" t="s">
        <v>8</v>
      </c>
      <c r="M274" s="43" t="s">
        <v>25</v>
      </c>
      <c r="N274" s="43" t="s">
        <v>7</v>
      </c>
      <c r="O274" s="43" t="s">
        <v>89</v>
      </c>
      <c r="P274" s="25"/>
      <c r="Q274" s="43" t="s">
        <v>5</v>
      </c>
      <c r="R274" s="43" t="s">
        <v>91</v>
      </c>
      <c r="T274" s="43" t="s">
        <v>10</v>
      </c>
      <c r="Y274" s="12"/>
    </row>
    <row r="275" spans="2:37" x14ac:dyDescent="0.3">
      <c r="B275" s="38"/>
      <c r="C275" s="50">
        <f>C251+C257+C263+C269</f>
        <v>76549.142844070113</v>
      </c>
      <c r="D275" s="50">
        <f t="shared" ref="D275:O275" si="112">D251+D257+D263+D269</f>
        <v>1371.1807324929616</v>
      </c>
      <c r="E275" s="50">
        <f t="shared" si="112"/>
        <v>28.730916727553129</v>
      </c>
      <c r="F275" s="50">
        <f t="shared" si="112"/>
        <v>76.923919508130496</v>
      </c>
      <c r="G275" s="50">
        <f t="shared" si="112"/>
        <v>0</v>
      </c>
      <c r="H275" s="50">
        <f t="shared" si="112"/>
        <v>557.56664340319617</v>
      </c>
      <c r="I275" s="50">
        <f t="shared" si="112"/>
        <v>132.15198644394073</v>
      </c>
      <c r="J275" s="50">
        <f t="shared" si="112"/>
        <v>337.80303802891547</v>
      </c>
      <c r="K275" s="50">
        <f t="shared" si="112"/>
        <v>0</v>
      </c>
      <c r="L275" s="50">
        <f t="shared" si="112"/>
        <v>0</v>
      </c>
      <c r="M275" s="50">
        <f t="shared" si="112"/>
        <v>0</v>
      </c>
      <c r="N275" s="50">
        <f t="shared" si="112"/>
        <v>0</v>
      </c>
      <c r="O275" s="50">
        <f t="shared" si="112"/>
        <v>0</v>
      </c>
      <c r="P275" s="53"/>
      <c r="Q275" s="5">
        <f>G275+N275</f>
        <v>0</v>
      </c>
      <c r="R275" s="5">
        <f>SUM(K275:L275)</f>
        <v>0</v>
      </c>
      <c r="T275" s="5">
        <f>SUM(C275:O275)</f>
        <v>79053.500080674828</v>
      </c>
      <c r="Y275" s="12"/>
    </row>
    <row r="276" spans="2:37" x14ac:dyDescent="0.3">
      <c r="C276" s="50">
        <f t="shared" ref="C276:O278" si="113">C252+C258+C264+C270</f>
        <v>96666.688871365317</v>
      </c>
      <c r="D276" s="50">
        <f t="shared" si="113"/>
        <v>1358.7531575158346</v>
      </c>
      <c r="E276" s="50">
        <f t="shared" si="113"/>
        <v>1902.4311036442064</v>
      </c>
      <c r="F276" s="50">
        <f t="shared" si="113"/>
        <v>2445.2398145966185</v>
      </c>
      <c r="G276" s="50">
        <f t="shared" si="113"/>
        <v>0</v>
      </c>
      <c r="H276" s="50">
        <f t="shared" si="113"/>
        <v>16834.812381740583</v>
      </c>
      <c r="I276" s="50">
        <f t="shared" si="113"/>
        <v>2857.832913589787</v>
      </c>
      <c r="J276" s="50">
        <f t="shared" si="113"/>
        <v>5420.5313511173308</v>
      </c>
      <c r="K276" s="50">
        <f t="shared" si="113"/>
        <v>0</v>
      </c>
      <c r="L276" s="50">
        <f t="shared" si="113"/>
        <v>0</v>
      </c>
      <c r="M276" s="50">
        <f t="shared" si="113"/>
        <v>0</v>
      </c>
      <c r="N276" s="50">
        <f t="shared" si="113"/>
        <v>0</v>
      </c>
      <c r="O276" s="50">
        <f t="shared" si="113"/>
        <v>0</v>
      </c>
      <c r="P276" s="53"/>
      <c r="Q276" s="5">
        <f>G276+N276</f>
        <v>0</v>
      </c>
      <c r="R276" s="5">
        <f>SUM(K276:L276)</f>
        <v>0</v>
      </c>
      <c r="T276" s="5">
        <f>SUM(C276:O276)</f>
        <v>127486.28959356967</v>
      </c>
      <c r="Y276" s="12"/>
    </row>
    <row r="277" spans="2:37" x14ac:dyDescent="0.3">
      <c r="C277" s="50">
        <f t="shared" si="113"/>
        <v>70709.64724774081</v>
      </c>
      <c r="D277" s="50">
        <f t="shared" si="113"/>
        <v>1331.8902132278968</v>
      </c>
      <c r="E277" s="50">
        <f t="shared" si="113"/>
        <v>6354.5208788885466</v>
      </c>
      <c r="F277" s="50">
        <f t="shared" si="113"/>
        <v>9679.0322157460432</v>
      </c>
      <c r="G277" s="50">
        <f t="shared" si="113"/>
        <v>0</v>
      </c>
      <c r="H277" s="50">
        <f t="shared" si="113"/>
        <v>59130.191743734569</v>
      </c>
      <c r="I277" s="50">
        <f t="shared" si="113"/>
        <v>3709.9144832122597</v>
      </c>
      <c r="J277" s="50">
        <f t="shared" si="113"/>
        <v>31459.826016617855</v>
      </c>
      <c r="K277" s="50">
        <f t="shared" si="113"/>
        <v>0</v>
      </c>
      <c r="L277" s="50">
        <f t="shared" si="113"/>
        <v>0</v>
      </c>
      <c r="M277" s="50">
        <f t="shared" si="113"/>
        <v>0</v>
      </c>
      <c r="N277" s="50">
        <f t="shared" si="113"/>
        <v>0</v>
      </c>
      <c r="O277" s="50">
        <f t="shared" si="113"/>
        <v>0</v>
      </c>
      <c r="P277" s="53"/>
      <c r="Q277" s="5">
        <f>G277+N277</f>
        <v>0</v>
      </c>
      <c r="R277" s="5">
        <f>SUM(K277:L277)</f>
        <v>0</v>
      </c>
      <c r="T277" s="5">
        <f>SUM(C277:O277)</f>
        <v>182375.02279916799</v>
      </c>
      <c r="Y277" s="12"/>
    </row>
    <row r="278" spans="2:37" x14ac:dyDescent="0.3">
      <c r="C278" s="50">
        <f t="shared" si="113"/>
        <v>75745.026026096923</v>
      </c>
      <c r="D278" s="50">
        <f t="shared" si="113"/>
        <v>0</v>
      </c>
      <c r="E278" s="50">
        <f t="shared" si="113"/>
        <v>8244.6918654942274</v>
      </c>
      <c r="F278" s="50">
        <f t="shared" si="113"/>
        <v>13066.010427706675</v>
      </c>
      <c r="G278" s="50">
        <f t="shared" si="113"/>
        <v>0</v>
      </c>
      <c r="H278" s="50">
        <f t="shared" si="113"/>
        <v>81959.871689177933</v>
      </c>
      <c r="I278" s="50">
        <f t="shared" si="113"/>
        <v>0</v>
      </c>
      <c r="J278" s="50">
        <f t="shared" si="113"/>
        <v>47936.561340588138</v>
      </c>
      <c r="K278" s="50">
        <f t="shared" si="113"/>
        <v>0</v>
      </c>
      <c r="L278" s="50">
        <f t="shared" si="113"/>
        <v>0</v>
      </c>
      <c r="M278" s="50">
        <f t="shared" si="113"/>
        <v>0</v>
      </c>
      <c r="N278" s="50">
        <f t="shared" si="113"/>
        <v>0</v>
      </c>
      <c r="O278" s="50">
        <f t="shared" si="113"/>
        <v>0</v>
      </c>
      <c r="P278" s="53"/>
      <c r="Q278" s="5">
        <f>G278+N278</f>
        <v>0</v>
      </c>
      <c r="R278" s="5">
        <f>SUM(K278:L278)</f>
        <v>0</v>
      </c>
      <c r="T278" s="5">
        <f>SUM(C278:O278)</f>
        <v>226952.16134906391</v>
      </c>
      <c r="Y278" s="60"/>
    </row>
    <row r="279" spans="2:37" s="58" customFormat="1" ht="21" x14ac:dyDescent="0.4">
      <c r="B279" s="59"/>
      <c r="P279" s="11"/>
    </row>
    <row r="280" spans="2:37" s="11" customFormat="1" x14ac:dyDescent="0.3">
      <c r="B280" s="25"/>
      <c r="C280" s="25"/>
      <c r="D280" s="25"/>
      <c r="E280" s="25"/>
      <c r="F280" s="60"/>
      <c r="G280" s="60"/>
      <c r="H280" s="25"/>
      <c r="I280" s="25"/>
      <c r="J280" s="25"/>
      <c r="K280" s="25"/>
      <c r="L280" s="25"/>
      <c r="M280" s="25"/>
      <c r="N280" s="25"/>
      <c r="O280" s="25"/>
      <c r="Q280" s="25"/>
      <c r="R280" s="25"/>
      <c r="S280" s="25"/>
      <c r="T280" s="25"/>
      <c r="U280" s="25"/>
      <c r="V280" s="25"/>
      <c r="X280" s="25"/>
    </row>
    <row r="281" spans="2:37" s="11" customFormat="1" x14ac:dyDescent="0.3"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Q281" s="62"/>
      <c r="R281" s="62"/>
      <c r="S281" s="62"/>
      <c r="T281" s="57"/>
      <c r="U281" s="57"/>
      <c r="V281" s="57"/>
      <c r="W281" s="57"/>
      <c r="X281" s="57"/>
      <c r="Z281" s="77"/>
      <c r="AA281" s="77"/>
      <c r="AB281" s="77"/>
      <c r="AC281" s="12"/>
      <c r="AD281" s="12"/>
      <c r="AF281" s="12"/>
      <c r="AI281" s="12"/>
      <c r="AJ281" s="12"/>
    </row>
    <row r="282" spans="2:37" s="11" customFormat="1" x14ac:dyDescent="0.3"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Q282" s="62"/>
      <c r="R282" s="62"/>
      <c r="S282" s="62"/>
      <c r="T282" s="57"/>
      <c r="U282" s="57"/>
      <c r="V282" s="57"/>
      <c r="W282" s="57"/>
      <c r="X282" s="57"/>
      <c r="Z282" s="78"/>
      <c r="AA282" s="78"/>
      <c r="AB282" s="78"/>
      <c r="AC282" s="12"/>
      <c r="AD282" s="12"/>
      <c r="AF282" s="12"/>
    </row>
    <row r="283" spans="2:37" s="11" customFormat="1" x14ac:dyDescent="0.3"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Q283" s="62"/>
      <c r="R283" s="62"/>
      <c r="S283" s="62"/>
      <c r="T283" s="57"/>
      <c r="U283" s="57"/>
      <c r="V283" s="57"/>
      <c r="W283" s="57"/>
      <c r="X283" s="57"/>
      <c r="Z283" s="78"/>
      <c r="AA283" s="78"/>
      <c r="AB283" s="78"/>
      <c r="AD283" s="12"/>
      <c r="AG283" s="12"/>
      <c r="AH283" s="12"/>
      <c r="AJ283" s="12"/>
      <c r="AK283" s="12"/>
    </row>
    <row r="284" spans="2:37" s="11" customFormat="1" x14ac:dyDescent="0.3"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Q284" s="62"/>
      <c r="R284" s="62"/>
      <c r="S284" s="62"/>
      <c r="T284" s="57"/>
      <c r="U284" s="57"/>
      <c r="V284" s="57"/>
      <c r="W284" s="57"/>
      <c r="X284" s="57"/>
      <c r="Z284" s="78"/>
      <c r="AA284" s="78"/>
      <c r="AB284" s="78"/>
      <c r="AD284" s="12"/>
      <c r="AG284" s="12"/>
      <c r="AI284" s="12"/>
      <c r="AJ284" s="12"/>
    </row>
    <row r="285" spans="2:37" s="11" customFormat="1" x14ac:dyDescent="0.3">
      <c r="T285" s="57"/>
      <c r="U285" s="57"/>
      <c r="V285" s="57"/>
      <c r="W285" s="57"/>
      <c r="X285" s="57"/>
      <c r="AC285" s="12"/>
      <c r="AD285" s="12"/>
      <c r="AF285" s="12"/>
      <c r="AH285" s="12"/>
      <c r="AI285" s="12"/>
      <c r="AJ285" s="12"/>
    </row>
    <row r="286" spans="2:37" s="11" customFormat="1" x14ac:dyDescent="0.3">
      <c r="B286" s="25"/>
      <c r="C286" s="25"/>
      <c r="D286" s="25"/>
      <c r="E286" s="25"/>
      <c r="F286" s="60"/>
      <c r="G286" s="60"/>
      <c r="H286" s="25"/>
      <c r="I286" s="25"/>
      <c r="J286" s="25"/>
      <c r="K286" s="25"/>
      <c r="L286" s="25"/>
      <c r="M286" s="25"/>
      <c r="N286" s="25"/>
      <c r="O286" s="25"/>
      <c r="Q286" s="25"/>
      <c r="R286" s="25"/>
      <c r="S286" s="25"/>
      <c r="T286" s="25"/>
      <c r="U286" s="25"/>
      <c r="V286" s="25"/>
      <c r="X286" s="25"/>
      <c r="Z286" s="77"/>
      <c r="AA286" s="77"/>
      <c r="AB286" s="77"/>
      <c r="AC286" s="12"/>
      <c r="AD286" s="12"/>
      <c r="AG286" s="12"/>
      <c r="AJ286" s="12"/>
    </row>
    <row r="287" spans="2:37" s="11" customFormat="1" x14ac:dyDescent="0.3"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Q287" s="62"/>
      <c r="R287" s="62"/>
      <c r="S287" s="62"/>
      <c r="T287" s="57"/>
      <c r="U287" s="57"/>
      <c r="V287" s="57"/>
      <c r="W287" s="57"/>
      <c r="X287" s="57"/>
      <c r="Z287" s="78"/>
      <c r="AA287" s="78"/>
      <c r="AB287" s="78"/>
      <c r="AC287" s="12"/>
      <c r="AD287" s="12"/>
      <c r="AF287" s="12"/>
      <c r="AG287" s="12"/>
      <c r="AI287" s="12"/>
    </row>
    <row r="288" spans="2:37" s="11" customFormat="1" x14ac:dyDescent="0.3"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Q288" s="62"/>
      <c r="R288" s="62"/>
      <c r="S288" s="62"/>
      <c r="T288" s="57"/>
      <c r="U288" s="57"/>
      <c r="V288" s="57"/>
      <c r="W288" s="57"/>
      <c r="X288" s="57"/>
      <c r="Z288" s="78"/>
      <c r="AA288" s="78"/>
      <c r="AB288" s="78"/>
      <c r="AC288" s="12"/>
      <c r="AD288" s="12"/>
      <c r="AF288" s="12"/>
      <c r="AG288" s="12"/>
      <c r="AJ288" s="12"/>
    </row>
    <row r="289" spans="1:37" s="11" customFormat="1" x14ac:dyDescent="0.3"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Q289" s="62"/>
      <c r="R289" s="62"/>
      <c r="S289" s="62"/>
      <c r="T289" s="57"/>
      <c r="U289" s="57"/>
      <c r="V289" s="57"/>
      <c r="W289" s="57"/>
      <c r="X289" s="57"/>
      <c r="AG289" s="12"/>
      <c r="AJ289" s="12"/>
    </row>
    <row r="290" spans="1:37" s="11" customFormat="1" x14ac:dyDescent="0.3"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Q290" s="62"/>
      <c r="R290" s="62"/>
      <c r="S290" s="62"/>
      <c r="T290" s="57"/>
      <c r="U290" s="57"/>
      <c r="V290" s="57"/>
      <c r="W290" s="57"/>
      <c r="X290" s="57"/>
      <c r="AF290" s="12"/>
      <c r="AG290" s="12"/>
    </row>
    <row r="291" spans="1:37" s="11" customFormat="1" x14ac:dyDescent="0.3">
      <c r="AF291" s="12"/>
      <c r="AG291" s="12"/>
      <c r="AH291" s="12"/>
      <c r="AK291" s="12"/>
    </row>
    <row r="292" spans="1:37" s="11" customFormat="1" x14ac:dyDescent="0.3">
      <c r="B292" s="25"/>
      <c r="C292" s="25"/>
      <c r="D292" s="25"/>
      <c r="E292" s="25"/>
      <c r="F292" s="60"/>
      <c r="G292" s="60"/>
      <c r="H292" s="25"/>
      <c r="I292" s="25"/>
      <c r="J292" s="25"/>
      <c r="K292" s="25"/>
      <c r="L292" s="25"/>
      <c r="M292" s="25"/>
      <c r="N292" s="25"/>
      <c r="O292" s="25"/>
      <c r="Q292" s="25"/>
      <c r="R292" s="25"/>
      <c r="S292" s="25"/>
      <c r="T292" s="25"/>
      <c r="U292" s="25"/>
      <c r="V292" s="25"/>
      <c r="X292" s="25"/>
      <c r="Y292" s="25"/>
      <c r="Z292" s="25"/>
      <c r="AA292" s="25"/>
      <c r="AG292" s="12"/>
    </row>
    <row r="293" spans="1:37" s="11" customFormat="1" x14ac:dyDescent="0.3">
      <c r="A293" s="20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Q293" s="62"/>
      <c r="R293" s="62"/>
      <c r="S293" s="62"/>
      <c r="T293" s="57"/>
      <c r="U293" s="57"/>
      <c r="V293" s="57"/>
      <c r="W293" s="57"/>
      <c r="X293" s="57"/>
      <c r="Y293" s="24"/>
      <c r="Z293" s="24"/>
      <c r="AA293" s="26"/>
      <c r="AD293" s="12"/>
      <c r="AF293" s="12"/>
      <c r="AG293" s="12"/>
      <c r="AH293" s="12"/>
      <c r="AJ293" s="12"/>
      <c r="AK293" s="12"/>
    </row>
    <row r="294" spans="1:37" s="11" customFormat="1" x14ac:dyDescent="0.3">
      <c r="A294" s="20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Q294" s="62"/>
      <c r="R294" s="62"/>
      <c r="S294" s="62"/>
      <c r="T294" s="57"/>
      <c r="U294" s="57"/>
      <c r="V294" s="57"/>
      <c r="W294" s="57"/>
      <c r="X294" s="57"/>
      <c r="Y294" s="24"/>
      <c r="Z294" s="24"/>
      <c r="AA294" s="26"/>
      <c r="AC294" s="12"/>
      <c r="AD294" s="12"/>
      <c r="AF294" s="12"/>
      <c r="AG294" s="12"/>
      <c r="AI294" s="12"/>
      <c r="AJ294" s="12"/>
    </row>
    <row r="295" spans="1:37" s="11" customFormat="1" x14ac:dyDescent="0.3">
      <c r="A295" s="20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Q295" s="62"/>
      <c r="R295" s="62"/>
      <c r="S295" s="62"/>
      <c r="T295" s="57"/>
      <c r="U295" s="57"/>
      <c r="V295" s="57"/>
      <c r="W295" s="57"/>
      <c r="X295" s="57"/>
      <c r="Y295" s="24"/>
      <c r="Z295" s="24"/>
      <c r="AA295" s="26"/>
      <c r="AC295" s="12"/>
      <c r="AD295" s="12"/>
      <c r="AF295" s="12"/>
      <c r="AG295" s="12"/>
      <c r="AI295" s="12"/>
      <c r="AJ295" s="12"/>
    </row>
    <row r="296" spans="1:37" s="11" customFormat="1" x14ac:dyDescent="0.3">
      <c r="A296" s="20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Q296" s="62"/>
      <c r="R296" s="62"/>
      <c r="S296" s="62"/>
      <c r="T296" s="57"/>
      <c r="U296" s="57"/>
      <c r="V296" s="57"/>
      <c r="W296" s="57"/>
      <c r="X296" s="57"/>
      <c r="Y296" s="24"/>
      <c r="Z296" s="24"/>
      <c r="AA296" s="26"/>
      <c r="AC296" s="12"/>
      <c r="AF296" s="12"/>
      <c r="AI296" s="12"/>
    </row>
    <row r="297" spans="1:37" s="11" customFormat="1" x14ac:dyDescent="0.3">
      <c r="AC297" s="12"/>
      <c r="AD297" s="12"/>
      <c r="AF297" s="12"/>
      <c r="AG297" s="12"/>
      <c r="AI297" s="12"/>
      <c r="AJ297" s="12"/>
    </row>
    <row r="298" spans="1:37" s="11" customFormat="1" x14ac:dyDescent="0.3"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Q298" s="26"/>
      <c r="R298" s="26"/>
      <c r="S298" s="26"/>
      <c r="T298" s="28"/>
      <c r="U298" s="28"/>
      <c r="V298" s="28"/>
      <c r="X298" s="27"/>
    </row>
    <row r="299" spans="1:37" s="11" customFormat="1" x14ac:dyDescent="0.3"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Q299" s="26"/>
      <c r="R299" s="26"/>
      <c r="S299" s="26"/>
      <c r="T299" s="28"/>
      <c r="U299" s="28"/>
      <c r="V299" s="28"/>
      <c r="X299" s="27"/>
    </row>
    <row r="300" spans="1:37" s="11" customFormat="1" x14ac:dyDescent="0.3"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Q300" s="26"/>
      <c r="R300" s="26"/>
      <c r="S300" s="26"/>
      <c r="T300" s="28"/>
      <c r="U300" s="28"/>
      <c r="V300" s="28"/>
      <c r="X300" s="27"/>
      <c r="AE300" s="12"/>
    </row>
    <row r="301" spans="1:37" s="11" customFormat="1" x14ac:dyDescent="0.3"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Q301" s="26"/>
      <c r="R301" s="26"/>
      <c r="S301" s="26"/>
      <c r="T301" s="28"/>
      <c r="U301" s="28"/>
      <c r="V301" s="28"/>
      <c r="X301" s="27"/>
    </row>
    <row r="302" spans="1:37" s="11" customFormat="1" x14ac:dyDescent="0.3"/>
    <row r="303" spans="1:37" s="58" customFormat="1" ht="21" x14ac:dyDescent="0.4">
      <c r="B303" s="59"/>
      <c r="P303" s="11"/>
    </row>
    <row r="304" spans="1:37" s="58" customFormat="1" ht="21" x14ac:dyDescent="0.4">
      <c r="B304" s="59"/>
      <c r="P304" s="11"/>
    </row>
    <row r="305" spans="2:24" s="11" customFormat="1" x14ac:dyDescent="0.3">
      <c r="B305" s="3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Q305" s="64"/>
      <c r="R305" s="64"/>
      <c r="S305" s="64"/>
    </row>
    <row r="306" spans="2:24" s="11" customFormat="1" x14ac:dyDescent="0.3">
      <c r="B306" s="25"/>
      <c r="C306" s="25"/>
      <c r="D306" s="25"/>
      <c r="E306" s="25"/>
      <c r="F306" s="60"/>
      <c r="G306" s="60"/>
      <c r="H306" s="25"/>
      <c r="I306" s="25"/>
      <c r="J306" s="25"/>
      <c r="K306" s="25"/>
      <c r="L306" s="25"/>
      <c r="M306" s="25"/>
      <c r="N306" s="25"/>
      <c r="O306" s="25"/>
      <c r="Q306" s="25"/>
      <c r="R306" s="25"/>
      <c r="S306" s="25"/>
      <c r="T306" s="25"/>
      <c r="U306" s="25"/>
      <c r="V306" s="25"/>
      <c r="X306" s="25"/>
    </row>
    <row r="307" spans="2:24" s="11" customFormat="1" x14ac:dyDescent="0.3"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Q307" s="26"/>
      <c r="R307" s="26"/>
      <c r="S307" s="26"/>
      <c r="T307" s="63"/>
      <c r="U307" s="63"/>
      <c r="V307" s="63"/>
      <c r="W307" s="57"/>
      <c r="X307" s="57"/>
    </row>
    <row r="308" spans="2:24" s="11" customFormat="1" x14ac:dyDescent="0.3"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Q308" s="26"/>
      <c r="R308" s="26"/>
      <c r="S308" s="26"/>
      <c r="T308" s="63"/>
      <c r="U308" s="63"/>
      <c r="V308" s="63"/>
      <c r="W308" s="57"/>
      <c r="X308" s="57"/>
    </row>
    <row r="309" spans="2:24" s="11" customFormat="1" x14ac:dyDescent="0.3"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Q309" s="26"/>
      <c r="R309" s="26"/>
      <c r="S309" s="26"/>
      <c r="T309" s="63"/>
      <c r="U309" s="63"/>
      <c r="V309" s="63"/>
      <c r="W309" s="57"/>
      <c r="X309" s="57"/>
    </row>
    <row r="310" spans="2:24" s="11" customFormat="1" x14ac:dyDescent="0.3"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Q310" s="26"/>
      <c r="R310" s="26"/>
      <c r="S310" s="26"/>
      <c r="T310" s="63"/>
      <c r="U310" s="63"/>
      <c r="V310" s="63"/>
      <c r="W310" s="57"/>
      <c r="X310" s="57"/>
    </row>
    <row r="311" spans="2:24" s="11" customFormat="1" x14ac:dyDescent="0.3"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Q311" s="28"/>
      <c r="R311" s="28"/>
      <c r="S311" s="28"/>
      <c r="T311" s="57"/>
      <c r="U311" s="57"/>
      <c r="V311" s="57"/>
      <c r="W311" s="57"/>
      <c r="X311" s="57"/>
    </row>
    <row r="312" spans="2:24" s="11" customFormat="1" x14ac:dyDescent="0.3">
      <c r="B312" s="25"/>
      <c r="C312" s="65"/>
      <c r="D312" s="2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Q312" s="25"/>
      <c r="R312" s="65"/>
      <c r="S312" s="65"/>
      <c r="T312" s="25"/>
      <c r="U312" s="25"/>
      <c r="V312" s="25"/>
      <c r="X312" s="25"/>
    </row>
    <row r="313" spans="2:24" s="11" customFormat="1" x14ac:dyDescent="0.3"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Q313" s="26"/>
      <c r="R313" s="26"/>
      <c r="S313" s="26"/>
      <c r="T313" s="63"/>
      <c r="U313" s="63"/>
      <c r="V313" s="63"/>
      <c r="W313" s="57"/>
      <c r="X313" s="57"/>
    </row>
    <row r="314" spans="2:24" s="11" customFormat="1" x14ac:dyDescent="0.3"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Q314" s="26"/>
      <c r="R314" s="26"/>
      <c r="S314" s="26"/>
      <c r="T314" s="63"/>
      <c r="U314" s="63"/>
      <c r="V314" s="63"/>
      <c r="W314" s="57"/>
      <c r="X314" s="57"/>
    </row>
    <row r="315" spans="2:24" s="11" customFormat="1" x14ac:dyDescent="0.3"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Q315" s="26"/>
      <c r="R315" s="26"/>
      <c r="S315" s="26"/>
      <c r="T315" s="63"/>
      <c r="U315" s="63"/>
      <c r="V315" s="63"/>
      <c r="W315" s="57"/>
      <c r="X315" s="57"/>
    </row>
    <row r="316" spans="2:24" s="11" customFormat="1" x14ac:dyDescent="0.3"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Q316" s="26"/>
      <c r="R316" s="26"/>
      <c r="S316" s="26"/>
      <c r="T316" s="63"/>
      <c r="U316" s="63"/>
      <c r="V316" s="63"/>
      <c r="W316" s="57"/>
      <c r="X316" s="57"/>
    </row>
    <row r="317" spans="2:24" s="11" customFormat="1" x14ac:dyDescent="0.3"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Q317" s="28"/>
      <c r="R317" s="28"/>
      <c r="S317" s="28"/>
    </row>
    <row r="318" spans="2:24" s="11" customFormat="1" x14ac:dyDescent="0.3">
      <c r="B318" s="25"/>
      <c r="C318" s="65"/>
      <c r="D318" s="2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Q318" s="25"/>
      <c r="R318" s="65"/>
      <c r="S318" s="65"/>
      <c r="T318" s="25"/>
      <c r="U318" s="25"/>
      <c r="V318" s="25"/>
      <c r="X318" s="25"/>
    </row>
    <row r="319" spans="2:24" s="11" customFormat="1" x14ac:dyDescent="0.3"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Q319" s="26"/>
      <c r="R319" s="26"/>
      <c r="S319" s="26"/>
      <c r="T319" s="63"/>
      <c r="U319" s="63"/>
      <c r="V319" s="63"/>
      <c r="W319" s="57"/>
      <c r="X319" s="57"/>
    </row>
    <row r="320" spans="2:24" s="11" customFormat="1" x14ac:dyDescent="0.3"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Q320" s="26"/>
      <c r="R320" s="26"/>
      <c r="S320" s="26"/>
      <c r="T320" s="63"/>
      <c r="U320" s="63"/>
      <c r="V320" s="63"/>
      <c r="W320" s="57"/>
      <c r="X320" s="57"/>
    </row>
    <row r="321" spans="2:24" s="11" customFormat="1" x14ac:dyDescent="0.3"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Q321" s="26"/>
      <c r="R321" s="26"/>
      <c r="S321" s="26"/>
      <c r="T321" s="63"/>
      <c r="U321" s="63"/>
      <c r="V321" s="63"/>
      <c r="W321" s="57"/>
      <c r="X321" s="57"/>
    </row>
    <row r="322" spans="2:24" s="11" customFormat="1" x14ac:dyDescent="0.3"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Q322" s="26"/>
      <c r="R322" s="26"/>
      <c r="S322" s="26"/>
      <c r="T322" s="63"/>
      <c r="U322" s="63"/>
      <c r="V322" s="63"/>
      <c r="W322" s="57"/>
      <c r="X322" s="57"/>
    </row>
    <row r="323" spans="2:24" s="11" customFormat="1" x14ac:dyDescent="0.3"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Q323" s="28"/>
      <c r="R323" s="28"/>
      <c r="S323" s="28"/>
    </row>
    <row r="324" spans="2:24" s="11" customFormat="1" x14ac:dyDescent="0.3">
      <c r="C324" s="12"/>
      <c r="D324" s="12"/>
      <c r="E324" s="14"/>
      <c r="F324" s="14"/>
      <c r="G324" s="14"/>
      <c r="H324" s="16"/>
      <c r="I324" s="14"/>
      <c r="J324" s="14"/>
      <c r="K324" s="16"/>
      <c r="L324" s="14"/>
      <c r="M324" s="16"/>
      <c r="N324" s="20"/>
      <c r="O324" s="20"/>
    </row>
    <row r="325" spans="2:24" s="58" customFormat="1" ht="21" x14ac:dyDescent="0.4">
      <c r="B325" s="59"/>
      <c r="P325" s="11"/>
    </row>
    <row r="326" spans="2:24" s="58" customFormat="1" ht="21" x14ac:dyDescent="0.4">
      <c r="B326" s="59"/>
      <c r="P326" s="11"/>
    </row>
    <row r="327" spans="2:24" s="58" customFormat="1" x14ac:dyDescent="0.3">
      <c r="B327" s="67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11"/>
      <c r="Q327" s="62"/>
      <c r="R327" s="62"/>
      <c r="S327" s="61"/>
    </row>
    <row r="328" spans="2:24" s="11" customFormat="1" x14ac:dyDescent="0.3">
      <c r="B328" s="25"/>
      <c r="C328" s="25"/>
      <c r="D328" s="25"/>
      <c r="E328" s="25"/>
      <c r="F328" s="60"/>
      <c r="G328" s="60"/>
      <c r="H328" s="25"/>
      <c r="I328" s="25"/>
      <c r="J328" s="25"/>
      <c r="K328" s="25"/>
      <c r="L328" s="25"/>
      <c r="M328" s="25"/>
      <c r="N328" s="25"/>
      <c r="O328" s="25"/>
      <c r="Q328" s="25"/>
      <c r="R328" s="25"/>
      <c r="S328" s="25"/>
      <c r="T328" s="25"/>
      <c r="U328" s="25"/>
      <c r="V328" s="25"/>
      <c r="X328" s="25"/>
    </row>
    <row r="329" spans="2:24" s="11" customFormat="1" x14ac:dyDescent="0.3"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Q329" s="62"/>
      <c r="R329" s="62"/>
      <c r="S329" s="62"/>
      <c r="T329" s="57"/>
      <c r="U329" s="57"/>
      <c r="V329" s="57"/>
      <c r="W329" s="57"/>
      <c r="X329" s="57"/>
    </row>
    <row r="330" spans="2:24" s="11" customFormat="1" x14ac:dyDescent="0.3"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Q330" s="62"/>
      <c r="R330" s="62"/>
      <c r="S330" s="62"/>
      <c r="T330" s="57"/>
      <c r="U330" s="57"/>
      <c r="V330" s="57"/>
      <c r="W330" s="57"/>
      <c r="X330" s="57"/>
    </row>
    <row r="331" spans="2:24" s="11" customFormat="1" x14ac:dyDescent="0.3"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Q331" s="62"/>
      <c r="R331" s="62"/>
      <c r="S331" s="62"/>
      <c r="T331" s="57"/>
      <c r="U331" s="57"/>
      <c r="V331" s="57"/>
      <c r="W331" s="57"/>
      <c r="X331" s="57"/>
    </row>
    <row r="332" spans="2:24" s="11" customFormat="1" x14ac:dyDescent="0.3"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Q332" s="62"/>
      <c r="R332" s="62"/>
      <c r="S332" s="62"/>
      <c r="T332" s="57"/>
      <c r="U332" s="57"/>
      <c r="V332" s="57"/>
      <c r="W332" s="57"/>
      <c r="X332" s="57"/>
    </row>
    <row r="333" spans="2:24" s="11" customFormat="1" x14ac:dyDescent="0.3">
      <c r="T333" s="57"/>
      <c r="U333" s="57"/>
      <c r="V333" s="57"/>
      <c r="W333" s="57"/>
      <c r="X333" s="57"/>
    </row>
    <row r="334" spans="2:24" s="11" customFormat="1" x14ac:dyDescent="0.3">
      <c r="B334" s="25"/>
      <c r="C334" s="25"/>
      <c r="D334" s="25"/>
      <c r="E334" s="25"/>
      <c r="F334" s="60"/>
      <c r="G334" s="60"/>
      <c r="H334" s="25"/>
      <c r="I334" s="25"/>
      <c r="J334" s="25"/>
      <c r="K334" s="25"/>
      <c r="L334" s="25"/>
      <c r="M334" s="25"/>
      <c r="N334" s="25"/>
      <c r="O334" s="25"/>
      <c r="Q334" s="25"/>
      <c r="R334" s="25"/>
      <c r="S334" s="25"/>
      <c r="T334" s="25"/>
      <c r="U334" s="25"/>
      <c r="V334" s="25"/>
      <c r="X334" s="25"/>
    </row>
    <row r="335" spans="2:24" s="11" customFormat="1" x14ac:dyDescent="0.3"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Q335" s="62"/>
      <c r="R335" s="62"/>
      <c r="S335" s="62"/>
      <c r="T335" s="57"/>
      <c r="U335" s="57"/>
      <c r="V335" s="57"/>
      <c r="W335" s="57"/>
      <c r="X335" s="57"/>
    </row>
    <row r="336" spans="2:24" s="11" customFormat="1" x14ac:dyDescent="0.3"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Q336" s="62"/>
      <c r="R336" s="62"/>
      <c r="S336" s="62"/>
      <c r="T336" s="57"/>
      <c r="U336" s="57"/>
      <c r="V336" s="57"/>
      <c r="W336" s="57"/>
      <c r="X336" s="57"/>
    </row>
    <row r="337" spans="2:27" s="11" customFormat="1" x14ac:dyDescent="0.3"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Q337" s="62"/>
      <c r="R337" s="62"/>
      <c r="S337" s="62"/>
      <c r="T337" s="57"/>
      <c r="U337" s="57"/>
      <c r="V337" s="57"/>
      <c r="W337" s="57"/>
      <c r="X337" s="57"/>
    </row>
    <row r="338" spans="2:27" s="11" customFormat="1" x14ac:dyDescent="0.3"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Q338" s="62"/>
      <c r="R338" s="62"/>
      <c r="S338" s="62"/>
      <c r="T338" s="57"/>
      <c r="U338" s="57"/>
      <c r="V338" s="57"/>
      <c r="W338" s="57"/>
      <c r="X338" s="57"/>
    </row>
    <row r="339" spans="2:27" s="11" customFormat="1" x14ac:dyDescent="0.3"/>
    <row r="340" spans="2:27" s="11" customFormat="1" x14ac:dyDescent="0.3">
      <c r="B340" s="25"/>
      <c r="C340" s="25"/>
      <c r="D340" s="25"/>
      <c r="E340" s="25"/>
      <c r="F340" s="60"/>
      <c r="G340" s="60"/>
      <c r="H340" s="25"/>
      <c r="I340" s="25"/>
      <c r="J340" s="25"/>
      <c r="K340" s="25"/>
      <c r="L340" s="25"/>
      <c r="M340" s="25"/>
      <c r="N340" s="25"/>
      <c r="O340" s="25"/>
      <c r="Q340" s="25"/>
      <c r="R340" s="25"/>
      <c r="S340" s="25"/>
      <c r="T340" s="25"/>
      <c r="U340" s="25"/>
      <c r="V340" s="25"/>
      <c r="X340" s="25"/>
      <c r="Y340" s="25"/>
      <c r="Z340" s="25"/>
      <c r="AA340" s="25"/>
    </row>
    <row r="341" spans="2:27" s="11" customFormat="1" x14ac:dyDescent="0.3"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Q341" s="62"/>
      <c r="R341" s="62"/>
      <c r="S341" s="62"/>
      <c r="T341" s="57"/>
      <c r="U341" s="57"/>
      <c r="V341" s="57"/>
      <c r="W341" s="57"/>
      <c r="X341" s="57"/>
      <c r="Y341" s="35"/>
      <c r="Z341" s="24"/>
      <c r="AA341" s="26"/>
    </row>
    <row r="342" spans="2:27" s="11" customFormat="1" x14ac:dyDescent="0.3"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Q342" s="62"/>
      <c r="R342" s="62"/>
      <c r="S342" s="62"/>
      <c r="T342" s="57"/>
      <c r="U342" s="57"/>
      <c r="V342" s="57"/>
      <c r="W342" s="57"/>
      <c r="X342" s="57"/>
      <c r="Y342" s="35"/>
      <c r="Z342" s="24"/>
      <c r="AA342" s="26"/>
    </row>
    <row r="343" spans="2:27" s="11" customFormat="1" x14ac:dyDescent="0.3"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Q343" s="62"/>
      <c r="R343" s="62"/>
      <c r="S343" s="62"/>
      <c r="T343" s="57"/>
      <c r="U343" s="57"/>
      <c r="V343" s="57"/>
      <c r="W343" s="57"/>
      <c r="X343" s="57"/>
      <c r="Y343" s="35"/>
      <c r="Z343" s="24"/>
      <c r="AA343" s="26"/>
    </row>
    <row r="344" spans="2:27" s="11" customFormat="1" x14ac:dyDescent="0.3"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Q344" s="62"/>
      <c r="R344" s="62"/>
      <c r="S344" s="62"/>
      <c r="T344" s="57"/>
      <c r="U344" s="57"/>
      <c r="V344" s="57"/>
      <c r="W344" s="57"/>
      <c r="X344" s="57"/>
      <c r="Y344" s="35"/>
      <c r="Z344" s="24"/>
      <c r="AA344" s="26"/>
    </row>
    <row r="345" spans="2:27" s="11" customFormat="1" x14ac:dyDescent="0.3"/>
    <row r="346" spans="2:27" s="11" customFormat="1" x14ac:dyDescent="0.3"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Q346" s="29"/>
      <c r="R346" s="29"/>
      <c r="S346" s="29"/>
      <c r="T346" s="28"/>
      <c r="U346" s="28"/>
      <c r="V346" s="28"/>
      <c r="X346" s="27"/>
    </row>
    <row r="347" spans="2:27" s="11" customFormat="1" x14ac:dyDescent="0.3"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Q347" s="29"/>
      <c r="R347" s="29"/>
      <c r="S347" s="29"/>
      <c r="T347" s="28"/>
      <c r="U347" s="28"/>
      <c r="V347" s="28"/>
      <c r="X347" s="27"/>
    </row>
    <row r="348" spans="2:27" s="11" customFormat="1" x14ac:dyDescent="0.3"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Q348" s="29"/>
      <c r="R348" s="29"/>
      <c r="S348" s="29"/>
      <c r="T348" s="28"/>
      <c r="U348" s="28"/>
      <c r="V348" s="28"/>
      <c r="X348" s="27"/>
    </row>
    <row r="349" spans="2:27" s="11" customFormat="1" x14ac:dyDescent="0.3"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Q349" s="29"/>
      <c r="R349" s="29"/>
      <c r="S349" s="29"/>
      <c r="T349" s="28"/>
      <c r="U349" s="28"/>
      <c r="V349" s="28"/>
      <c r="X349" s="27"/>
    </row>
    <row r="350" spans="2:27" s="11" customFormat="1" x14ac:dyDescent="0.3"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Q350" s="29"/>
      <c r="R350" s="29"/>
      <c r="S350" s="29"/>
      <c r="T350" s="28"/>
      <c r="U350" s="28"/>
      <c r="V350" s="28"/>
      <c r="X350" s="27"/>
    </row>
    <row r="351" spans="2:27" s="58" customFormat="1" ht="21" x14ac:dyDescent="0.4">
      <c r="B351" s="59"/>
      <c r="P351" s="11"/>
    </row>
    <row r="352" spans="2:27" s="58" customFormat="1" ht="21" x14ac:dyDescent="0.4">
      <c r="B352" s="59"/>
      <c r="P352" s="11"/>
    </row>
    <row r="353" spans="2:25" s="58" customFormat="1" ht="15.75" customHeight="1" x14ac:dyDescent="0.3">
      <c r="B353" s="67"/>
      <c r="C353" s="62"/>
      <c r="D353" s="56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11"/>
      <c r="Q353" s="62"/>
      <c r="R353" s="62"/>
      <c r="S353" s="61"/>
    </row>
    <row r="354" spans="2:25" s="58" customFormat="1" x14ac:dyDescent="0.3">
      <c r="B354" s="67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11"/>
      <c r="Q354" s="62"/>
      <c r="R354" s="62"/>
      <c r="S354" s="61"/>
    </row>
    <row r="355" spans="2:25" s="58" customFormat="1" x14ac:dyDescent="0.3">
      <c r="B355" s="67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11"/>
      <c r="Q355" s="53"/>
      <c r="R355" s="53"/>
      <c r="S355" s="53"/>
    </row>
    <row r="356" spans="2:25" s="11" customFormat="1" x14ac:dyDescent="0.3">
      <c r="B356" s="25"/>
      <c r="C356" s="25"/>
      <c r="D356" s="25"/>
      <c r="E356" s="25"/>
      <c r="F356" s="60"/>
      <c r="G356" s="60"/>
      <c r="H356" s="25"/>
      <c r="I356" s="25"/>
      <c r="J356" s="25"/>
      <c r="K356" s="25"/>
      <c r="L356" s="25"/>
      <c r="M356" s="25"/>
      <c r="N356" s="25"/>
      <c r="O356" s="25"/>
      <c r="Q356" s="25"/>
      <c r="R356" s="25"/>
      <c r="S356" s="25"/>
      <c r="T356" s="25"/>
      <c r="U356" s="25"/>
      <c r="V356" s="25"/>
      <c r="X356" s="25"/>
    </row>
    <row r="357" spans="2:25" s="11" customFormat="1" x14ac:dyDescent="0.3"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Q357" s="62"/>
      <c r="R357" s="62"/>
      <c r="S357" s="62"/>
      <c r="T357" s="57"/>
      <c r="U357" s="57"/>
      <c r="V357" s="57"/>
      <c r="W357" s="57"/>
      <c r="X357" s="57"/>
    </row>
    <row r="358" spans="2:25" s="11" customFormat="1" x14ac:dyDescent="0.3"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Q358" s="62"/>
      <c r="R358" s="62"/>
      <c r="S358" s="62"/>
      <c r="T358" s="57"/>
      <c r="U358" s="57"/>
      <c r="V358" s="57"/>
      <c r="W358" s="57"/>
      <c r="X358" s="57"/>
    </row>
    <row r="359" spans="2:25" s="11" customFormat="1" x14ac:dyDescent="0.3"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Q359" s="62"/>
      <c r="R359" s="62"/>
      <c r="S359" s="62"/>
      <c r="T359" s="57"/>
      <c r="U359" s="57"/>
      <c r="V359" s="57"/>
      <c r="W359" s="57"/>
      <c r="X359" s="57"/>
    </row>
    <row r="360" spans="2:25" s="11" customFormat="1" x14ac:dyDescent="0.3"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Q360" s="62"/>
      <c r="R360" s="62"/>
      <c r="S360" s="62"/>
      <c r="T360" s="57"/>
      <c r="U360" s="57"/>
      <c r="V360" s="57"/>
      <c r="W360" s="57"/>
      <c r="X360" s="57"/>
    </row>
    <row r="361" spans="2:25" s="11" customFormat="1" x14ac:dyDescent="0.3"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Q361" s="69"/>
      <c r="R361" s="69"/>
      <c r="S361" s="69"/>
      <c r="T361" s="57"/>
      <c r="U361" s="57"/>
      <c r="V361" s="57"/>
      <c r="W361" s="57"/>
      <c r="X361" s="57"/>
    </row>
    <row r="362" spans="2:25" s="11" customFormat="1" x14ac:dyDescent="0.3">
      <c r="T362" s="57"/>
      <c r="U362" s="57"/>
      <c r="V362" s="57"/>
      <c r="W362" s="57"/>
      <c r="X362" s="57"/>
    </row>
    <row r="363" spans="2:25" s="11" customFormat="1" x14ac:dyDescent="0.3">
      <c r="B363" s="67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Q363" s="56"/>
      <c r="R363" s="56"/>
      <c r="S363" s="56"/>
      <c r="T363" s="57"/>
      <c r="U363" s="57"/>
      <c r="V363" s="57"/>
      <c r="W363" s="57"/>
      <c r="X363" s="57"/>
    </row>
    <row r="364" spans="2:25" s="58" customFormat="1" x14ac:dyDescent="0.3">
      <c r="B364" s="11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11"/>
      <c r="Q364" s="56"/>
      <c r="R364" s="56"/>
      <c r="S364" s="56"/>
      <c r="T364" s="57"/>
      <c r="U364" s="57"/>
      <c r="V364" s="57"/>
      <c r="W364" s="57"/>
      <c r="X364" s="57"/>
      <c r="Y364" s="11"/>
    </row>
    <row r="365" spans="2:25" s="58" customFormat="1" x14ac:dyDescent="0.3">
      <c r="B365" s="11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11"/>
      <c r="Q365" s="56"/>
      <c r="R365" s="56"/>
      <c r="S365" s="56"/>
      <c r="T365" s="57"/>
      <c r="U365" s="57"/>
      <c r="V365" s="57"/>
      <c r="W365" s="57"/>
      <c r="X365" s="57"/>
      <c r="Y365" s="11"/>
    </row>
    <row r="366" spans="2:25" s="11" customFormat="1" x14ac:dyDescent="0.3"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Q366" s="56"/>
      <c r="R366" s="56"/>
      <c r="S366" s="56"/>
      <c r="T366" s="57"/>
      <c r="U366" s="57"/>
      <c r="V366" s="57"/>
      <c r="W366" s="57"/>
      <c r="X366" s="57"/>
    </row>
    <row r="367" spans="2:25" s="11" customFormat="1" x14ac:dyDescent="0.3">
      <c r="B367" s="67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Q367" s="56"/>
      <c r="R367" s="56"/>
      <c r="S367" s="56"/>
      <c r="T367" s="58"/>
      <c r="U367" s="58"/>
      <c r="V367" s="58"/>
      <c r="W367" s="58"/>
      <c r="X367" s="58"/>
      <c r="Y367" s="58"/>
    </row>
    <row r="368" spans="2:25" s="11" customFormat="1" x14ac:dyDescent="0.3"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Q368" s="56"/>
      <c r="R368" s="56"/>
      <c r="S368" s="56"/>
      <c r="T368" s="57"/>
      <c r="U368" s="57"/>
      <c r="V368" s="57"/>
      <c r="W368" s="57"/>
      <c r="X368" s="57"/>
      <c r="Y368" s="58"/>
    </row>
    <row r="369" spans="2:27" s="11" customFormat="1" x14ac:dyDescent="0.3"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Q369" s="56"/>
      <c r="R369" s="56"/>
      <c r="S369" s="56"/>
      <c r="T369" s="57"/>
      <c r="U369" s="57"/>
      <c r="V369" s="57"/>
      <c r="W369" s="57"/>
      <c r="X369" s="57"/>
      <c r="Y369" s="58"/>
    </row>
    <row r="370" spans="2:27" s="11" customFormat="1" x14ac:dyDescent="0.3"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Q370" s="56"/>
      <c r="R370" s="56"/>
      <c r="S370" s="56"/>
      <c r="T370" s="57"/>
      <c r="U370" s="57"/>
      <c r="V370" s="57"/>
      <c r="W370" s="57"/>
      <c r="X370" s="57"/>
      <c r="Y370" s="58"/>
    </row>
    <row r="371" spans="2:27" s="11" customFormat="1" x14ac:dyDescent="0.3">
      <c r="B371" s="67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Q371" s="70"/>
      <c r="R371" s="70"/>
      <c r="S371" s="70"/>
      <c r="T371" s="58"/>
      <c r="U371" s="58"/>
      <c r="V371" s="58"/>
      <c r="W371" s="58"/>
      <c r="X371" s="58"/>
      <c r="Y371" s="58"/>
    </row>
    <row r="372" spans="2:27" s="11" customFormat="1" x14ac:dyDescent="0.3"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Q372" s="70"/>
      <c r="R372" s="70"/>
      <c r="S372" s="70"/>
      <c r="T372" s="57"/>
      <c r="U372" s="57"/>
      <c r="V372" s="57"/>
      <c r="W372" s="57"/>
      <c r="X372" s="57"/>
      <c r="Y372" s="58"/>
      <c r="Z372" s="25"/>
      <c r="AA372" s="25"/>
    </row>
    <row r="373" spans="2:27" s="11" customFormat="1" x14ac:dyDescent="0.3"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Q373" s="70"/>
      <c r="R373" s="70"/>
      <c r="S373" s="70"/>
      <c r="T373" s="57"/>
      <c r="U373" s="57"/>
      <c r="V373" s="57"/>
      <c r="W373" s="57"/>
      <c r="X373" s="57"/>
      <c r="Y373" s="58"/>
      <c r="Z373" s="24"/>
      <c r="AA373" s="26"/>
    </row>
    <row r="374" spans="2:27" s="11" customFormat="1" x14ac:dyDescent="0.3"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Q374" s="70"/>
      <c r="R374" s="70"/>
      <c r="S374" s="70"/>
      <c r="T374" s="57"/>
      <c r="U374" s="57"/>
      <c r="V374" s="57"/>
      <c r="W374" s="57"/>
      <c r="X374" s="57"/>
      <c r="Y374" s="58"/>
      <c r="Z374" s="24"/>
      <c r="AA374" s="26"/>
    </row>
    <row r="375" spans="2:27" s="11" customFormat="1" x14ac:dyDescent="0.3">
      <c r="B375" s="25"/>
      <c r="C375" s="25"/>
      <c r="D375" s="25"/>
      <c r="E375" s="25"/>
      <c r="F375" s="60"/>
      <c r="G375" s="60"/>
      <c r="H375" s="25"/>
      <c r="I375" s="25"/>
      <c r="J375" s="25"/>
      <c r="K375" s="25"/>
      <c r="L375" s="25"/>
      <c r="M375" s="25"/>
      <c r="N375" s="25"/>
      <c r="O375" s="25"/>
      <c r="Q375" s="25"/>
      <c r="R375" s="25"/>
      <c r="S375" s="25"/>
      <c r="T375" s="25"/>
      <c r="U375" s="25"/>
      <c r="V375" s="25"/>
      <c r="X375" s="25"/>
      <c r="Z375" s="24"/>
      <c r="AA375" s="26"/>
    </row>
    <row r="376" spans="2:27" s="11" customFormat="1" x14ac:dyDescent="0.3"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Q376" s="62"/>
      <c r="R376" s="62"/>
      <c r="S376" s="62"/>
      <c r="T376" s="57"/>
      <c r="U376" s="57"/>
      <c r="V376" s="57"/>
      <c r="W376" s="57"/>
      <c r="X376" s="57"/>
      <c r="Z376" s="24"/>
      <c r="AA376" s="26"/>
    </row>
    <row r="377" spans="2:27" s="11" customFormat="1" x14ac:dyDescent="0.3"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Q377" s="62"/>
      <c r="R377" s="62"/>
      <c r="S377" s="62"/>
      <c r="T377" s="57"/>
      <c r="U377" s="57"/>
      <c r="V377" s="57"/>
      <c r="W377" s="57"/>
      <c r="X377" s="57"/>
    </row>
    <row r="378" spans="2:27" s="11" customFormat="1" x14ac:dyDescent="0.3"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Q378" s="62"/>
      <c r="R378" s="62"/>
      <c r="S378" s="62"/>
      <c r="T378" s="57"/>
      <c r="U378" s="57"/>
      <c r="V378" s="57"/>
      <c r="W378" s="57"/>
      <c r="X378" s="57"/>
    </row>
    <row r="379" spans="2:27" s="11" customFormat="1" x14ac:dyDescent="0.3"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Q379" s="62"/>
      <c r="R379" s="62"/>
      <c r="S379" s="62"/>
      <c r="T379" s="57"/>
      <c r="U379" s="57"/>
      <c r="V379" s="57"/>
      <c r="W379" s="57"/>
      <c r="X379" s="57"/>
    </row>
    <row r="380" spans="2:27" s="11" customFormat="1" x14ac:dyDescent="0.3"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Q380" s="69"/>
      <c r="R380" s="69"/>
      <c r="S380" s="69"/>
    </row>
    <row r="381" spans="2:27" s="11" customFormat="1" x14ac:dyDescent="0.3">
      <c r="B381" s="25"/>
      <c r="C381" s="25"/>
      <c r="D381" s="25"/>
      <c r="E381" s="25"/>
      <c r="F381" s="60"/>
      <c r="G381" s="60"/>
      <c r="H381" s="25"/>
      <c r="I381" s="25"/>
      <c r="J381" s="25"/>
      <c r="K381" s="25"/>
      <c r="L381" s="25"/>
      <c r="M381" s="25"/>
      <c r="N381" s="25"/>
      <c r="O381" s="25"/>
      <c r="Q381" s="25"/>
      <c r="R381" s="25"/>
      <c r="S381" s="25"/>
      <c r="T381" s="25"/>
      <c r="U381" s="25"/>
      <c r="V381" s="25"/>
      <c r="X381" s="25"/>
      <c r="Y381" s="25"/>
      <c r="Z381" s="25"/>
    </row>
    <row r="382" spans="2:27" s="11" customFormat="1" x14ac:dyDescent="0.3"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Q382" s="62"/>
      <c r="R382" s="62"/>
      <c r="S382" s="62"/>
      <c r="T382" s="57"/>
      <c r="U382" s="57"/>
      <c r="V382" s="57"/>
      <c r="W382" s="57"/>
      <c r="X382" s="71"/>
      <c r="Y382" s="35"/>
      <c r="Z382" s="72"/>
    </row>
    <row r="383" spans="2:27" s="11" customFormat="1" x14ac:dyDescent="0.3"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Q383" s="62"/>
      <c r="R383" s="62"/>
      <c r="S383" s="62"/>
      <c r="T383" s="57"/>
      <c r="U383" s="57"/>
      <c r="V383" s="57"/>
      <c r="W383" s="57"/>
      <c r="X383" s="71"/>
      <c r="Y383" s="35"/>
      <c r="Z383" s="72"/>
    </row>
    <row r="384" spans="2:27" s="11" customFormat="1" x14ac:dyDescent="0.3"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Q384" s="62"/>
      <c r="R384" s="62"/>
      <c r="S384" s="62"/>
      <c r="T384" s="57"/>
      <c r="U384" s="57"/>
      <c r="V384" s="57"/>
      <c r="W384" s="57"/>
      <c r="X384" s="71"/>
      <c r="Y384" s="35"/>
      <c r="Z384" s="72"/>
    </row>
    <row r="385" spans="2:26" s="11" customFormat="1" x14ac:dyDescent="0.3"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Q385" s="62"/>
      <c r="R385" s="62"/>
      <c r="S385" s="62"/>
      <c r="T385" s="57"/>
      <c r="U385" s="57"/>
      <c r="V385" s="57"/>
      <c r="W385" s="57"/>
      <c r="X385" s="71"/>
      <c r="Y385" s="35"/>
      <c r="Z385" s="72"/>
    </row>
    <row r="386" spans="2:26" s="11" customFormat="1" x14ac:dyDescent="0.3"/>
    <row r="387" spans="2:26" s="11" customFormat="1" x14ac:dyDescent="0.3"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Q387" s="29"/>
      <c r="R387" s="29"/>
      <c r="S387" s="29"/>
      <c r="T387" s="28"/>
      <c r="U387" s="28"/>
      <c r="V387" s="28"/>
      <c r="X387" s="27"/>
    </row>
    <row r="388" spans="2:26" s="11" customFormat="1" x14ac:dyDescent="0.3"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Q388" s="29"/>
      <c r="R388" s="29"/>
      <c r="S388" s="29"/>
      <c r="T388" s="28"/>
      <c r="U388" s="28"/>
      <c r="V388" s="28"/>
      <c r="X388" s="27"/>
    </row>
    <row r="389" spans="2:26" s="11" customFormat="1" x14ac:dyDescent="0.3"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Q389" s="29"/>
      <c r="R389" s="29"/>
      <c r="S389" s="29"/>
      <c r="T389" s="28"/>
      <c r="U389" s="28"/>
      <c r="V389" s="28"/>
      <c r="X389" s="27"/>
    </row>
    <row r="390" spans="2:26" s="11" customFormat="1" x14ac:dyDescent="0.3"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Q390" s="29"/>
      <c r="R390" s="29"/>
      <c r="S390" s="29"/>
      <c r="T390" s="28"/>
      <c r="U390" s="28"/>
      <c r="V390" s="28"/>
      <c r="X390" s="27"/>
    </row>
    <row r="391" spans="2:26" s="11" customFormat="1" x14ac:dyDescent="0.3"/>
    <row r="392" spans="2:26" s="11" customFormat="1" x14ac:dyDescent="0.3">
      <c r="B392" s="34"/>
      <c r="C392" s="25"/>
      <c r="D392" s="25"/>
      <c r="E392" s="25"/>
      <c r="F392" s="60"/>
      <c r="G392" s="60"/>
      <c r="H392" s="25"/>
      <c r="I392" s="25"/>
      <c r="J392" s="25"/>
      <c r="K392" s="25"/>
      <c r="L392" s="25"/>
      <c r="M392" s="25"/>
      <c r="N392" s="25"/>
      <c r="O392" s="25"/>
      <c r="Q392" s="25"/>
      <c r="R392" s="25"/>
      <c r="S392" s="25"/>
      <c r="T392" s="25"/>
      <c r="U392" s="25"/>
      <c r="V392" s="25"/>
      <c r="X392" s="54"/>
    </row>
    <row r="393" spans="2:26" s="11" customFormat="1" x14ac:dyDescent="0.3"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Q393" s="53"/>
      <c r="R393" s="53"/>
      <c r="S393" s="53"/>
      <c r="X393" s="54"/>
    </row>
    <row r="394" spans="2:26" s="11" customFormat="1" x14ac:dyDescent="0.3"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Q394" s="53"/>
      <c r="R394" s="53"/>
      <c r="S394" s="53"/>
      <c r="X394" s="54"/>
    </row>
    <row r="395" spans="2:26" s="11" customFormat="1" x14ac:dyDescent="0.3"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Q395" s="53"/>
      <c r="R395" s="53"/>
      <c r="S395" s="53"/>
      <c r="X395" s="54"/>
    </row>
    <row r="396" spans="2:26" s="11" customFormat="1" x14ac:dyDescent="0.3"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Q396" s="53"/>
      <c r="R396" s="53"/>
      <c r="S396" s="53"/>
      <c r="X396" s="54"/>
    </row>
    <row r="397" spans="2:26" s="11" customFormat="1" x14ac:dyDescent="0.3">
      <c r="B397" s="34"/>
    </row>
    <row r="398" spans="2:26" s="11" customFormat="1" x14ac:dyDescent="0.3">
      <c r="B398" s="34"/>
      <c r="X398" s="54"/>
    </row>
    <row r="399" spans="2:26" s="11" customFormat="1" x14ac:dyDescent="0.3"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Q399" s="53"/>
      <c r="R399" s="53"/>
      <c r="S399" s="53"/>
      <c r="X399" s="54"/>
    </row>
    <row r="400" spans="2:26" s="11" customFormat="1" x14ac:dyDescent="0.3"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Q400" s="53"/>
      <c r="R400" s="53"/>
      <c r="S400" s="53"/>
      <c r="X400" s="54"/>
    </row>
    <row r="401" spans="2:26" s="11" customFormat="1" x14ac:dyDescent="0.3"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Q401" s="53"/>
      <c r="R401" s="53"/>
      <c r="S401" s="53"/>
      <c r="X401" s="54"/>
    </row>
    <row r="402" spans="2:26" s="11" customFormat="1" x14ac:dyDescent="0.3"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Q402" s="53"/>
      <c r="R402" s="53"/>
      <c r="S402" s="53"/>
      <c r="X402" s="54"/>
    </row>
    <row r="403" spans="2:26" s="11" customFormat="1" x14ac:dyDescent="0.3">
      <c r="B403" s="34"/>
    </row>
    <row r="404" spans="2:26" s="11" customFormat="1" x14ac:dyDescent="0.3">
      <c r="B404" s="34"/>
      <c r="Y404" s="70"/>
      <c r="Z404" s="61"/>
    </row>
    <row r="405" spans="2:26" s="11" customFormat="1" x14ac:dyDescent="0.3"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Q405" s="53"/>
      <c r="R405" s="53"/>
      <c r="S405" s="53"/>
      <c r="X405" s="73"/>
      <c r="Y405" s="54"/>
      <c r="Z405" s="54"/>
    </row>
    <row r="406" spans="2:26" s="11" customFormat="1" x14ac:dyDescent="0.3"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Q406" s="53"/>
      <c r="R406" s="53"/>
      <c r="S406" s="53"/>
      <c r="X406" s="73"/>
      <c r="Y406" s="54"/>
      <c r="Z406" s="54"/>
    </row>
    <row r="407" spans="2:26" s="11" customFormat="1" x14ac:dyDescent="0.3"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Q407" s="53"/>
      <c r="R407" s="53"/>
      <c r="S407" s="53"/>
      <c r="X407" s="73"/>
      <c r="Y407" s="54"/>
      <c r="Z407" s="54"/>
    </row>
    <row r="408" spans="2:26" s="11" customFormat="1" x14ac:dyDescent="0.3"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Q408" s="53"/>
      <c r="R408" s="53"/>
      <c r="S408" s="53"/>
      <c r="X408" s="73"/>
      <c r="Y408" s="54"/>
      <c r="Z408" s="54"/>
    </row>
    <row r="409" spans="2:26" s="11" customFormat="1" x14ac:dyDescent="0.3"/>
    <row r="410" spans="2:26" s="11" customFormat="1" x14ac:dyDescent="0.3"/>
    <row r="411" spans="2:26" s="11" customFormat="1" x14ac:dyDescent="0.3"/>
    <row r="412" spans="2:26" s="11" customFormat="1" x14ac:dyDescent="0.3"/>
    <row r="413" spans="2:26" s="11" customFormat="1" x14ac:dyDescent="0.3"/>
    <row r="414" spans="2:26" s="11" customFormat="1" x14ac:dyDescent="0.3"/>
    <row r="415" spans="2:26" s="11" customFormat="1" x14ac:dyDescent="0.3"/>
    <row r="416" spans="2:26" s="11" customFormat="1" x14ac:dyDescent="0.3"/>
    <row r="417" s="11" customFormat="1" x14ac:dyDescent="0.3"/>
    <row r="418" s="11" customFormat="1" x14ac:dyDescent="0.3"/>
    <row r="419" s="11" customFormat="1" x14ac:dyDescent="0.3"/>
    <row r="420" s="11" customFormat="1" x14ac:dyDescent="0.3"/>
    <row r="421" s="11" customFormat="1" x14ac:dyDescent="0.3"/>
    <row r="422" s="11" customFormat="1" x14ac:dyDescent="0.3"/>
    <row r="423" s="11" customFormat="1" x14ac:dyDescent="0.3"/>
    <row r="424" s="11" customFormat="1" x14ac:dyDescent="0.3"/>
    <row r="425" s="11" customFormat="1" x14ac:dyDescent="0.3"/>
    <row r="426" s="11" customFormat="1" x14ac:dyDescent="0.3"/>
    <row r="427" s="11" customFormat="1" x14ac:dyDescent="0.3"/>
    <row r="428" s="11" customFormat="1" x14ac:dyDescent="0.3"/>
    <row r="429" s="11" customFormat="1" x14ac:dyDescent="0.3"/>
    <row r="430" s="11" customFormat="1" x14ac:dyDescent="0.3"/>
    <row r="431" s="11" customFormat="1" x14ac:dyDescent="0.3"/>
    <row r="432" s="11" customFormat="1" x14ac:dyDescent="0.3"/>
    <row r="433" s="11" customFormat="1" x14ac:dyDescent="0.3"/>
    <row r="434" s="11" customFormat="1" x14ac:dyDescent="0.3"/>
    <row r="435" s="11" customFormat="1" x14ac:dyDescent="0.3"/>
    <row r="436" s="11" customFormat="1" x14ac:dyDescent="0.3"/>
    <row r="437" s="11" customFormat="1" x14ac:dyDescent="0.3"/>
    <row r="438" s="11" customFormat="1" x14ac:dyDescent="0.3"/>
    <row r="439" s="11" customFormat="1" x14ac:dyDescent="0.3"/>
    <row r="440" s="11" customFormat="1" x14ac:dyDescent="0.3"/>
    <row r="441" s="11" customFormat="1" x14ac:dyDescent="0.3"/>
    <row r="442" s="11" customFormat="1" x14ac:dyDescent="0.3"/>
    <row r="443" s="11" customFormat="1" x14ac:dyDescent="0.3"/>
    <row r="444" s="11" customFormat="1" x14ac:dyDescent="0.3"/>
    <row r="445" s="11" customFormat="1" x14ac:dyDescent="0.3"/>
    <row r="446" s="11" customFormat="1" x14ac:dyDescent="0.3"/>
    <row r="447" s="11" customFormat="1" x14ac:dyDescent="0.3"/>
    <row r="448" s="11" customFormat="1" x14ac:dyDescent="0.3"/>
    <row r="449" s="11" customFormat="1" x14ac:dyDescent="0.3"/>
    <row r="450" s="11" customFormat="1" x14ac:dyDescent="0.3"/>
    <row r="451" s="11" customFormat="1" x14ac:dyDescent="0.3"/>
    <row r="452" s="11" customFormat="1" x14ac:dyDescent="0.3"/>
    <row r="453" s="11" customFormat="1" x14ac:dyDescent="0.3"/>
    <row r="454" s="11" customFormat="1" x14ac:dyDescent="0.3"/>
    <row r="455" s="11" customFormat="1" x14ac:dyDescent="0.3"/>
    <row r="456" s="11" customFormat="1" x14ac:dyDescent="0.3"/>
    <row r="457" s="11" customFormat="1" x14ac:dyDescent="0.3"/>
    <row r="458" s="11" customFormat="1" x14ac:dyDescent="0.3"/>
    <row r="459" s="11" customFormat="1" x14ac:dyDescent="0.3"/>
    <row r="460" s="11" customFormat="1" x14ac:dyDescent="0.3"/>
    <row r="461" s="11" customFormat="1" x14ac:dyDescent="0.3"/>
    <row r="462" s="11" customFormat="1" x14ac:dyDescent="0.3"/>
    <row r="463" s="11" customFormat="1" x14ac:dyDescent="0.3"/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463"/>
  <sheetViews>
    <sheetView topLeftCell="A28" zoomScale="85" zoomScaleNormal="85" workbookViewId="0">
      <selection activeCell="M47" sqref="M47:M49"/>
    </sheetView>
  </sheetViews>
  <sheetFormatPr defaultColWidth="9.109375" defaultRowHeight="14.4" x14ac:dyDescent="0.3"/>
  <cols>
    <col min="1" max="1" width="9.109375" style="3"/>
    <col min="2" max="2" width="43.109375" style="3" customWidth="1"/>
    <col min="3" max="3" width="10.109375" style="3" bestFit="1" customWidth="1"/>
    <col min="4" max="4" width="10.109375" style="3" customWidth="1"/>
    <col min="5" max="5" width="9.5546875" style="3" bestFit="1" customWidth="1"/>
    <col min="6" max="6" width="11.109375" style="3" bestFit="1" customWidth="1"/>
    <col min="7" max="7" width="10.109375" style="3" bestFit="1" customWidth="1"/>
    <col min="8" max="8" width="9.44140625" style="3" bestFit="1" customWidth="1"/>
    <col min="9" max="10" width="11.109375" style="3" bestFit="1" customWidth="1"/>
    <col min="11" max="11" width="9.44140625" style="3" bestFit="1" customWidth="1"/>
    <col min="12" max="12" width="10.109375" style="3" bestFit="1" customWidth="1"/>
    <col min="13" max="13" width="11.109375" style="3" bestFit="1" customWidth="1"/>
    <col min="14" max="14" width="9.44140625" style="3" bestFit="1" customWidth="1"/>
    <col min="15" max="15" width="9.44140625" style="3" customWidth="1"/>
    <col min="16" max="16" width="1.5546875" style="11" customWidth="1"/>
    <col min="17" max="19" width="9.44140625" style="3" bestFit="1" customWidth="1"/>
    <col min="20" max="20" width="10" style="3" bestFit="1" customWidth="1"/>
    <col min="21" max="21" width="10.88671875" style="3" bestFit="1" customWidth="1"/>
    <col min="22" max="22" width="9.5546875" style="3" bestFit="1" customWidth="1"/>
    <col min="23" max="23" width="9.5546875" style="3" customWidth="1"/>
    <col min="24" max="24" width="12.33203125" style="3" bestFit="1" customWidth="1"/>
    <col min="25" max="25" width="9.88671875" style="3" bestFit="1" customWidth="1"/>
    <col min="26" max="26" width="10.88671875" style="3" bestFit="1" customWidth="1"/>
    <col min="27" max="29" width="9.109375" style="3"/>
    <col min="30" max="30" width="9.6640625" style="3" bestFit="1" customWidth="1"/>
    <col min="31" max="16384" width="9.109375" style="3"/>
  </cols>
  <sheetData>
    <row r="2" spans="2:20" s="9" customFormat="1" ht="21" x14ac:dyDescent="0.35">
      <c r="B2" s="10" t="s">
        <v>11</v>
      </c>
    </row>
    <row r="3" spans="2:20" ht="30" x14ac:dyDescent="0.25">
      <c r="B3" s="43" t="s">
        <v>31</v>
      </c>
      <c r="C3" s="43" t="s">
        <v>0</v>
      </c>
      <c r="D3" s="43" t="s">
        <v>1</v>
      </c>
      <c r="E3" s="43" t="s">
        <v>28</v>
      </c>
      <c r="F3" s="2" t="s">
        <v>29</v>
      </c>
      <c r="G3" s="2" t="s">
        <v>6</v>
      </c>
      <c r="H3" s="43" t="s">
        <v>2</v>
      </c>
      <c r="I3" s="43" t="s">
        <v>3</v>
      </c>
      <c r="J3" s="43" t="s">
        <v>4</v>
      </c>
      <c r="K3" s="43" t="s">
        <v>9</v>
      </c>
      <c r="L3" s="43" t="s">
        <v>8</v>
      </c>
      <c r="M3" s="43" t="s">
        <v>25</v>
      </c>
      <c r="N3" s="43" t="s">
        <v>7</v>
      </c>
      <c r="O3" s="43" t="s">
        <v>89</v>
      </c>
      <c r="P3" s="25"/>
      <c r="Q3" s="43" t="s">
        <v>5</v>
      </c>
      <c r="R3" s="43" t="s">
        <v>91</v>
      </c>
      <c r="T3" s="43" t="s">
        <v>10</v>
      </c>
    </row>
    <row r="4" spans="2:20" ht="15" x14ac:dyDescent="0.25">
      <c r="B4" s="3">
        <v>2016</v>
      </c>
      <c r="C4" s="74">
        <f>'HC-BC'!C4</f>
        <v>36060</v>
      </c>
      <c r="D4" s="74">
        <f>'HC-BC'!D4</f>
        <v>1860</v>
      </c>
      <c r="E4" s="74">
        <f>'HC-BC'!E4</f>
        <v>424.6</v>
      </c>
      <c r="F4" s="74">
        <f>'HC-BC'!F4</f>
        <v>3419</v>
      </c>
      <c r="G4" s="74">
        <f>'HC-BC'!G4</f>
        <v>2179</v>
      </c>
      <c r="H4" s="74">
        <f>'HC-BC'!H4</f>
        <v>1306</v>
      </c>
      <c r="I4" s="74">
        <f>'HC-BC'!I4</f>
        <v>200</v>
      </c>
      <c r="J4" s="74">
        <f>'HC-BC'!J4</f>
        <v>1479</v>
      </c>
      <c r="K4" s="74">
        <f>'HC-BC'!K4</f>
        <v>0</v>
      </c>
      <c r="L4" s="74">
        <f>'HC-BC'!L4</f>
        <v>264</v>
      </c>
      <c r="M4" s="74">
        <f>'HC-BC'!M4</f>
        <v>0</v>
      </c>
      <c r="N4" s="74">
        <f>'HC-BC'!N4</f>
        <v>1580</v>
      </c>
      <c r="O4" s="74">
        <f>'HC-BC'!P4</f>
        <v>0</v>
      </c>
      <c r="P4" s="89"/>
      <c r="Q4" s="39">
        <f>G4+N4</f>
        <v>3759</v>
      </c>
      <c r="R4" s="5">
        <f>SUM(K4:L4)</f>
        <v>264</v>
      </c>
      <c r="T4" s="5">
        <f>SUM(C4:O4)</f>
        <v>48771.6</v>
      </c>
    </row>
    <row r="5" spans="2:20" ht="15" x14ac:dyDescent="0.25">
      <c r="B5" s="3">
        <v>2030</v>
      </c>
      <c r="C5" s="74">
        <f>'HC-BC'!C5</f>
        <v>23080</v>
      </c>
      <c r="D5" s="74">
        <f>'HC-BC'!D5</f>
        <v>1860</v>
      </c>
      <c r="E5" s="74">
        <f>'HC-BC'!E5</f>
        <v>424.6</v>
      </c>
      <c r="F5" s="74">
        <f>'HC-BC'!F5</f>
        <v>3077</v>
      </c>
      <c r="G5" s="74">
        <f>'HC-BC'!G5</f>
        <v>2179</v>
      </c>
      <c r="H5" s="74">
        <f>'HC-BC'!H5</f>
        <v>1306</v>
      </c>
      <c r="I5" s="74">
        <f>'HC-BC'!I5</f>
        <v>200</v>
      </c>
      <c r="J5" s="74">
        <f>'HC-BC'!J5</f>
        <v>1479</v>
      </c>
      <c r="K5" s="74">
        <f>'HC-BC'!K5</f>
        <v>0</v>
      </c>
      <c r="L5" s="74">
        <f>'HC-BC'!L5</f>
        <v>264</v>
      </c>
      <c r="M5" s="74">
        <f>'HC-BC'!M5</f>
        <v>0</v>
      </c>
      <c r="N5" s="74">
        <f>'HC-BC'!N5</f>
        <v>1580</v>
      </c>
      <c r="O5" s="74">
        <f>'HC-BC'!P5</f>
        <v>0</v>
      </c>
      <c r="P5" s="89"/>
      <c r="Q5" s="39">
        <f>G5+N5</f>
        <v>3759</v>
      </c>
      <c r="R5" s="5">
        <f>SUM(K5:L5)</f>
        <v>264</v>
      </c>
      <c r="T5" s="5">
        <f t="shared" ref="T5:T7" si="0">SUM(C5:O5)</f>
        <v>35449.599999999999</v>
      </c>
    </row>
    <row r="6" spans="2:20" ht="15" x14ac:dyDescent="0.25">
      <c r="B6" s="3">
        <v>2040</v>
      </c>
      <c r="C6" s="74">
        <f>'HC-BC'!C6</f>
        <v>7660</v>
      </c>
      <c r="D6" s="74">
        <f>'HC-BC'!D6</f>
        <v>1860</v>
      </c>
      <c r="E6" s="74">
        <f>'HC-BC'!E6</f>
        <v>424.6</v>
      </c>
      <c r="F6" s="74">
        <f>'HC-BC'!F6</f>
        <v>1005</v>
      </c>
      <c r="G6" s="74">
        <f>'HC-BC'!G6</f>
        <v>2179</v>
      </c>
      <c r="H6" s="74">
        <f>'HC-BC'!H6</f>
        <v>0</v>
      </c>
      <c r="I6" s="74">
        <f>'HC-BC'!I6</f>
        <v>200</v>
      </c>
      <c r="J6" s="74">
        <f>'HC-BC'!J6</f>
        <v>435</v>
      </c>
      <c r="K6" s="74">
        <f>'HC-BC'!K6</f>
        <v>0</v>
      </c>
      <c r="L6" s="74">
        <f>'HC-BC'!L6</f>
        <v>264</v>
      </c>
      <c r="M6" s="74">
        <f>'HC-BC'!M6</f>
        <v>0</v>
      </c>
      <c r="N6" s="74">
        <f>'HC-BC'!N6</f>
        <v>1580</v>
      </c>
      <c r="O6" s="74">
        <f>'HC-BC'!P6</f>
        <v>0</v>
      </c>
      <c r="P6" s="89"/>
      <c r="Q6" s="39">
        <f>G6+N6</f>
        <v>3759</v>
      </c>
      <c r="R6" s="5">
        <f>SUM(K6:L6)</f>
        <v>264</v>
      </c>
      <c r="T6" s="5">
        <f t="shared" si="0"/>
        <v>15607.6</v>
      </c>
    </row>
    <row r="7" spans="2:20" ht="15" x14ac:dyDescent="0.25">
      <c r="B7" s="3">
        <v>2050</v>
      </c>
      <c r="C7" s="74">
        <f>'HC-BC'!C7</f>
        <v>670</v>
      </c>
      <c r="D7" s="74">
        <f>'HC-BC'!D7</f>
        <v>0</v>
      </c>
      <c r="E7" s="74">
        <f>'HC-BC'!E7</f>
        <v>424.6</v>
      </c>
      <c r="F7" s="74">
        <f>'HC-BC'!F7</f>
        <v>0</v>
      </c>
      <c r="G7" s="74">
        <f>'HC-BC'!G7</f>
        <v>2179</v>
      </c>
      <c r="H7" s="74">
        <f>'HC-BC'!H7</f>
        <v>0</v>
      </c>
      <c r="I7" s="74">
        <f>'HC-BC'!I7</f>
        <v>0</v>
      </c>
      <c r="J7" s="74">
        <f>'HC-BC'!J7</f>
        <v>0</v>
      </c>
      <c r="K7" s="74">
        <f>'HC-BC'!K7</f>
        <v>0</v>
      </c>
      <c r="L7" s="74">
        <f>'HC-BC'!L7</f>
        <v>264</v>
      </c>
      <c r="M7" s="74">
        <f>'HC-BC'!M7</f>
        <v>0</v>
      </c>
      <c r="N7" s="74">
        <f>'HC-BC'!N7</f>
        <v>1580</v>
      </c>
      <c r="O7" s="74">
        <f>'HC-BC'!P7</f>
        <v>0</v>
      </c>
      <c r="P7" s="89"/>
      <c r="Q7" s="39">
        <f>G7+N7</f>
        <v>3759</v>
      </c>
      <c r="R7" s="5">
        <f>SUM(K7:L7)</f>
        <v>264</v>
      </c>
      <c r="T7" s="5">
        <f t="shared" si="0"/>
        <v>5117.6000000000004</v>
      </c>
    </row>
    <row r="9" spans="2:20" ht="30" x14ac:dyDescent="0.25">
      <c r="B9" s="43" t="s">
        <v>30</v>
      </c>
      <c r="C9" s="43" t="s">
        <v>0</v>
      </c>
      <c r="D9" s="43" t="s">
        <v>1</v>
      </c>
      <c r="E9" s="43" t="s">
        <v>28</v>
      </c>
      <c r="F9" s="2" t="s">
        <v>29</v>
      </c>
      <c r="G9" s="2" t="s">
        <v>6</v>
      </c>
      <c r="H9" s="43" t="s">
        <v>2</v>
      </c>
      <c r="I9" s="43" t="s">
        <v>3</v>
      </c>
      <c r="J9" s="43" t="s">
        <v>4</v>
      </c>
      <c r="K9" s="43" t="s">
        <v>9</v>
      </c>
      <c r="L9" s="43" t="s">
        <v>8</v>
      </c>
      <c r="M9" s="43" t="s">
        <v>25</v>
      </c>
      <c r="N9" s="43" t="s">
        <v>7</v>
      </c>
      <c r="O9" s="43" t="s">
        <v>89</v>
      </c>
      <c r="P9" s="25"/>
      <c r="Q9" s="43" t="s">
        <v>5</v>
      </c>
      <c r="R9" s="43" t="s">
        <v>91</v>
      </c>
      <c r="T9" s="43" t="s">
        <v>10</v>
      </c>
    </row>
    <row r="10" spans="2:20" ht="15" x14ac:dyDescent="0.25">
      <c r="B10" s="3">
        <v>2016</v>
      </c>
      <c r="C10" s="74">
        <f>'HC-BC'!C10</f>
        <v>722</v>
      </c>
      <c r="D10" s="74">
        <f>'HC-BC'!D10</f>
        <v>0</v>
      </c>
      <c r="E10" s="74">
        <f>'HC-BC'!E10</f>
        <v>0</v>
      </c>
      <c r="F10" s="74">
        <f>'HC-BC'!F10</f>
        <v>0</v>
      </c>
      <c r="G10" s="74">
        <f>'HC-BC'!G10</f>
        <v>0</v>
      </c>
      <c r="H10" s="74">
        <f>'HC-BC'!H10</f>
        <v>154</v>
      </c>
      <c r="I10" s="74">
        <f>'HC-BC'!I10</f>
        <v>0</v>
      </c>
      <c r="J10" s="74">
        <f>'HC-BC'!J10</f>
        <v>0</v>
      </c>
      <c r="K10" s="74">
        <f>'HC-BC'!K10</f>
        <v>0</v>
      </c>
      <c r="L10" s="74">
        <f>'HC-BC'!L10</f>
        <v>0</v>
      </c>
      <c r="M10" s="74">
        <f>'HC-BC'!M10</f>
        <v>0</v>
      </c>
      <c r="N10" s="74">
        <f>'HC-BC'!N10</f>
        <v>0</v>
      </c>
      <c r="O10" s="74">
        <f>'HC-BC'!P10</f>
        <v>0</v>
      </c>
      <c r="P10" s="89"/>
      <c r="Q10" s="39">
        <f>G10+N10</f>
        <v>0</v>
      </c>
      <c r="R10" s="5">
        <f>SUM(K10:L10)</f>
        <v>0</v>
      </c>
      <c r="T10" s="5">
        <f>SUM(C10:O10)</f>
        <v>876</v>
      </c>
    </row>
    <row r="11" spans="2:20" ht="15" x14ac:dyDescent="0.25">
      <c r="B11" s="3">
        <v>2030</v>
      </c>
      <c r="C11" s="74">
        <f>'HC-BC'!C11</f>
        <v>9536</v>
      </c>
      <c r="D11" s="74">
        <f>'HC-BC'!D11</f>
        <v>0</v>
      </c>
      <c r="E11" s="74">
        <f>'HC-BC'!E11</f>
        <v>0</v>
      </c>
      <c r="F11" s="74">
        <f>'HC-BC'!F11</f>
        <v>0</v>
      </c>
      <c r="G11" s="74">
        <f>'HC-BC'!G11</f>
        <v>45</v>
      </c>
      <c r="H11" s="74">
        <f>'HC-BC'!H11</f>
        <v>2800</v>
      </c>
      <c r="I11" s="74">
        <f>'HC-BC'!I11</f>
        <v>850</v>
      </c>
      <c r="J11" s="74">
        <f>'HC-BC'!J11</f>
        <v>1332</v>
      </c>
      <c r="K11" s="74">
        <f>'HC-BC'!K11</f>
        <v>53</v>
      </c>
      <c r="L11" s="74">
        <f>'HC-BC'!L11</f>
        <v>153</v>
      </c>
      <c r="M11" s="74">
        <f>'HC-BC'!M11</f>
        <v>0</v>
      </c>
      <c r="N11" s="74">
        <f>'HC-BC'!N11</f>
        <v>1332</v>
      </c>
      <c r="O11" s="74">
        <f>'HC-BC'!P11</f>
        <v>0</v>
      </c>
      <c r="P11" s="89"/>
      <c r="Q11" s="39">
        <f>G11+N11</f>
        <v>1377</v>
      </c>
      <c r="R11" s="5">
        <f>SUM(K11:L11)</f>
        <v>206</v>
      </c>
      <c r="T11" s="5">
        <f t="shared" ref="T11:T13" si="1">SUM(C11:O11)</f>
        <v>16101</v>
      </c>
    </row>
    <row r="12" spans="2:20" ht="15" x14ac:dyDescent="0.25">
      <c r="B12" s="3">
        <v>2040</v>
      </c>
      <c r="C12" s="74">
        <f>'HC-BC'!C12</f>
        <v>9536</v>
      </c>
      <c r="D12" s="74">
        <f>'HC-BC'!D12</f>
        <v>0</v>
      </c>
      <c r="E12" s="74">
        <f>'HC-BC'!E12</f>
        <v>0</v>
      </c>
      <c r="F12" s="74">
        <f>'HC-BC'!F12</f>
        <v>0</v>
      </c>
      <c r="G12" s="74">
        <f>'HC-BC'!G12</f>
        <v>45</v>
      </c>
      <c r="H12" s="74">
        <f>'HC-BC'!H12</f>
        <v>0</v>
      </c>
      <c r="I12" s="74">
        <f>'HC-BC'!I12</f>
        <v>850</v>
      </c>
      <c r="J12" s="74">
        <f>'HC-BC'!J12</f>
        <v>1332</v>
      </c>
      <c r="K12" s="74">
        <f>'HC-BC'!K12</f>
        <v>53</v>
      </c>
      <c r="L12" s="74">
        <f>'HC-BC'!L12</f>
        <v>153</v>
      </c>
      <c r="M12" s="74">
        <f>'HC-BC'!M12</f>
        <v>0</v>
      </c>
      <c r="N12" s="74">
        <f>'HC-BC'!N12</f>
        <v>1332</v>
      </c>
      <c r="O12" s="74">
        <f>'HC-BC'!P12</f>
        <v>0</v>
      </c>
      <c r="P12" s="89"/>
      <c r="Q12" s="39">
        <f>G12+N12</f>
        <v>1377</v>
      </c>
      <c r="R12" s="5">
        <f>SUM(K12:L12)</f>
        <v>206</v>
      </c>
      <c r="T12" s="5">
        <f t="shared" si="1"/>
        <v>13301</v>
      </c>
    </row>
    <row r="13" spans="2:20" ht="15" x14ac:dyDescent="0.25">
      <c r="B13" s="3">
        <v>2050</v>
      </c>
      <c r="C13" s="74">
        <f>'HC-BC'!C13</f>
        <v>9536</v>
      </c>
      <c r="D13" s="74">
        <f>'HC-BC'!D13</f>
        <v>0</v>
      </c>
      <c r="E13" s="74">
        <f>'HC-BC'!E13</f>
        <v>0</v>
      </c>
      <c r="F13" s="74">
        <f>'HC-BC'!F13</f>
        <v>0</v>
      </c>
      <c r="G13" s="74">
        <f>'HC-BC'!G13</f>
        <v>45</v>
      </c>
      <c r="H13" s="74">
        <f>'HC-BC'!H13</f>
        <v>0</v>
      </c>
      <c r="I13" s="74">
        <f>'HC-BC'!I13</f>
        <v>0</v>
      </c>
      <c r="J13" s="74">
        <f>'HC-BC'!J13</f>
        <v>0</v>
      </c>
      <c r="K13" s="74">
        <f>'HC-BC'!K13</f>
        <v>0</v>
      </c>
      <c r="L13" s="74">
        <f>'HC-BC'!L13</f>
        <v>0</v>
      </c>
      <c r="M13" s="74">
        <f>'HC-BC'!M13</f>
        <v>0</v>
      </c>
      <c r="N13" s="74">
        <f>'HC-BC'!N13</f>
        <v>1332</v>
      </c>
      <c r="O13" s="74">
        <f>'HC-BC'!P13</f>
        <v>0</v>
      </c>
      <c r="P13" s="89"/>
      <c r="Q13" s="39">
        <f>G13+N13</f>
        <v>1377</v>
      </c>
      <c r="R13" s="5">
        <f>SUM(K13:L13)</f>
        <v>0</v>
      </c>
      <c r="T13" s="5">
        <f t="shared" si="1"/>
        <v>10913</v>
      </c>
    </row>
    <row r="15" spans="2:20" ht="30" x14ac:dyDescent="0.25">
      <c r="B15" s="43" t="s">
        <v>32</v>
      </c>
      <c r="C15" s="43" t="s">
        <v>0</v>
      </c>
      <c r="D15" s="43" t="s">
        <v>1</v>
      </c>
      <c r="E15" s="43" t="s">
        <v>28</v>
      </c>
      <c r="F15" s="2" t="s">
        <v>29</v>
      </c>
      <c r="G15" s="2" t="s">
        <v>6</v>
      </c>
      <c r="H15" s="43" t="s">
        <v>2</v>
      </c>
      <c r="I15" s="43" t="s">
        <v>3</v>
      </c>
      <c r="J15" s="43" t="s">
        <v>4</v>
      </c>
      <c r="K15" s="43" t="s">
        <v>9</v>
      </c>
      <c r="L15" s="43" t="s">
        <v>8</v>
      </c>
      <c r="M15" s="43" t="s">
        <v>25</v>
      </c>
      <c r="N15" s="43" t="s">
        <v>7</v>
      </c>
      <c r="O15" s="43" t="s">
        <v>89</v>
      </c>
      <c r="P15" s="25"/>
      <c r="Q15" s="43" t="s">
        <v>5</v>
      </c>
      <c r="R15" s="43" t="s">
        <v>91</v>
      </c>
      <c r="T15" s="43" t="s">
        <v>10</v>
      </c>
    </row>
    <row r="16" spans="2:20" ht="15" x14ac:dyDescent="0.25">
      <c r="B16" s="3">
        <v>2016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89"/>
      <c r="Q16" s="39">
        <f>G16+N16</f>
        <v>0</v>
      </c>
      <c r="R16" s="5">
        <f>SUM(K16:L16)</f>
        <v>0</v>
      </c>
      <c r="T16" s="5">
        <f>SUM(C16:O16)</f>
        <v>0</v>
      </c>
    </row>
    <row r="17" spans="1:23" ht="15" x14ac:dyDescent="0.25">
      <c r="B17" s="3">
        <v>2030</v>
      </c>
      <c r="C17" s="44">
        <v>0</v>
      </c>
      <c r="D17" s="44">
        <v>0</v>
      </c>
      <c r="E17" s="44">
        <v>732</v>
      </c>
      <c r="F17" s="44">
        <v>7524</v>
      </c>
      <c r="G17" s="44">
        <v>0</v>
      </c>
      <c r="H17" s="44">
        <v>13600</v>
      </c>
      <c r="I17" s="44">
        <v>0</v>
      </c>
      <c r="J17" s="44">
        <v>7100</v>
      </c>
      <c r="K17" s="44">
        <v>0</v>
      </c>
      <c r="L17" s="44">
        <v>0</v>
      </c>
      <c r="M17" s="44">
        <v>620</v>
      </c>
      <c r="N17" s="44">
        <v>333</v>
      </c>
      <c r="O17" s="44">
        <v>3</v>
      </c>
      <c r="P17" s="89"/>
      <c r="Q17" s="39">
        <f>G17+N17</f>
        <v>333</v>
      </c>
      <c r="R17" s="5">
        <f>SUM(K17:L17)</f>
        <v>0</v>
      </c>
      <c r="T17" s="5">
        <f t="shared" ref="T17:T19" si="2">SUM(C17:O17)</f>
        <v>29912</v>
      </c>
    </row>
    <row r="18" spans="1:23" ht="15" x14ac:dyDescent="0.25">
      <c r="B18" s="3">
        <v>2040</v>
      </c>
      <c r="C18" s="44">
        <v>0</v>
      </c>
      <c r="D18" s="44">
        <v>0</v>
      </c>
      <c r="E18" s="44">
        <v>5856</v>
      </c>
      <c r="F18" s="44">
        <v>18612</v>
      </c>
      <c r="G18" s="44">
        <v>0</v>
      </c>
      <c r="H18" s="44">
        <v>40900</v>
      </c>
      <c r="I18" s="44">
        <v>0</v>
      </c>
      <c r="J18" s="44">
        <v>39000</v>
      </c>
      <c r="K18" s="44">
        <v>255</v>
      </c>
      <c r="L18" s="44">
        <v>0</v>
      </c>
      <c r="M18" s="44">
        <v>3226</v>
      </c>
      <c r="N18" s="44">
        <v>333</v>
      </c>
      <c r="O18" s="44">
        <v>6</v>
      </c>
      <c r="P18" s="89"/>
      <c r="Q18" s="39">
        <f>G18+N18</f>
        <v>333</v>
      </c>
      <c r="R18" s="5">
        <f>SUM(K18:L18)</f>
        <v>255</v>
      </c>
      <c r="T18" s="5">
        <f t="shared" si="2"/>
        <v>108188</v>
      </c>
    </row>
    <row r="19" spans="1:23" ht="15" x14ac:dyDescent="0.25">
      <c r="B19" s="3">
        <v>2050</v>
      </c>
      <c r="C19" s="44">
        <v>0</v>
      </c>
      <c r="D19" s="44">
        <v>0</v>
      </c>
      <c r="E19" s="44">
        <v>11712</v>
      </c>
      <c r="F19" s="44">
        <v>25872</v>
      </c>
      <c r="G19" s="44">
        <v>0</v>
      </c>
      <c r="H19" s="44">
        <v>59500</v>
      </c>
      <c r="I19" s="44">
        <v>0</v>
      </c>
      <c r="J19" s="44">
        <v>55300</v>
      </c>
      <c r="K19" s="44">
        <v>280</v>
      </c>
      <c r="L19" s="44">
        <v>0</v>
      </c>
      <c r="M19" s="44">
        <v>3015</v>
      </c>
      <c r="N19" s="44">
        <v>333</v>
      </c>
      <c r="O19" s="44">
        <v>6</v>
      </c>
      <c r="P19" s="89"/>
      <c r="Q19" s="39">
        <f>G19+N19</f>
        <v>333</v>
      </c>
      <c r="R19" s="5">
        <f>SUM(K19:L19)</f>
        <v>280</v>
      </c>
      <c r="T19" s="5">
        <f t="shared" si="2"/>
        <v>156018</v>
      </c>
    </row>
    <row r="21" spans="1:23" ht="30" x14ac:dyDescent="0.25">
      <c r="B21" s="43" t="s">
        <v>33</v>
      </c>
      <c r="C21" s="43" t="s">
        <v>0</v>
      </c>
      <c r="D21" s="43" t="s">
        <v>1</v>
      </c>
      <c r="E21" s="43" t="s">
        <v>28</v>
      </c>
      <c r="F21" s="2" t="s">
        <v>29</v>
      </c>
      <c r="G21" s="2" t="s">
        <v>6</v>
      </c>
      <c r="H21" s="43" t="s">
        <v>2</v>
      </c>
      <c r="I21" s="43" t="s">
        <v>3</v>
      </c>
      <c r="J21" s="43" t="s">
        <v>4</v>
      </c>
      <c r="K21" s="43" t="s">
        <v>9</v>
      </c>
      <c r="L21" s="43" t="s">
        <v>8</v>
      </c>
      <c r="M21" s="43" t="s">
        <v>25</v>
      </c>
      <c r="N21" s="43" t="s">
        <v>7</v>
      </c>
      <c r="O21" s="43" t="s">
        <v>89</v>
      </c>
      <c r="P21" s="25"/>
      <c r="Q21" s="43" t="s">
        <v>5</v>
      </c>
      <c r="R21" s="43" t="s">
        <v>91</v>
      </c>
      <c r="T21" s="43" t="s">
        <v>10</v>
      </c>
      <c r="V21" s="25"/>
      <c r="W21" s="25"/>
    </row>
    <row r="22" spans="1:23" ht="15" x14ac:dyDescent="0.25">
      <c r="A22" s="39">
        <f>C22-C16</f>
        <v>36782</v>
      </c>
      <c r="B22" s="3">
        <v>2016</v>
      </c>
      <c r="C22" s="50">
        <f>C4+C10+C16</f>
        <v>36782</v>
      </c>
      <c r="D22" s="50">
        <f t="shared" ref="D22:O25" si="3">D4+D10+D16</f>
        <v>1860</v>
      </c>
      <c r="E22" s="50">
        <f t="shared" si="3"/>
        <v>424.6</v>
      </c>
      <c r="F22" s="50">
        <f t="shared" si="3"/>
        <v>3419</v>
      </c>
      <c r="G22" s="50">
        <f t="shared" si="3"/>
        <v>2179</v>
      </c>
      <c r="H22" s="50">
        <f t="shared" si="3"/>
        <v>1460</v>
      </c>
      <c r="I22" s="50">
        <f t="shared" si="3"/>
        <v>200</v>
      </c>
      <c r="J22" s="50">
        <f t="shared" si="3"/>
        <v>1479</v>
      </c>
      <c r="K22" s="50">
        <f t="shared" si="3"/>
        <v>0</v>
      </c>
      <c r="L22" s="50">
        <f t="shared" si="3"/>
        <v>264</v>
      </c>
      <c r="M22" s="50">
        <f t="shared" si="3"/>
        <v>0</v>
      </c>
      <c r="N22" s="50">
        <f t="shared" si="3"/>
        <v>1580</v>
      </c>
      <c r="O22" s="50">
        <f t="shared" si="3"/>
        <v>0</v>
      </c>
      <c r="P22" s="56"/>
      <c r="Q22" s="39">
        <f>G22+N22</f>
        <v>3759</v>
      </c>
      <c r="R22" s="5">
        <f>SUM(K22:L22)</f>
        <v>264</v>
      </c>
      <c r="T22" s="5">
        <f>SUM(C22:O22)</f>
        <v>49647.6</v>
      </c>
      <c r="V22" s="24"/>
      <c r="W22" s="26"/>
    </row>
    <row r="23" spans="1:23" ht="15" x14ac:dyDescent="0.25">
      <c r="A23" s="39">
        <f t="shared" ref="A23:A25" si="4">C23-C17</f>
        <v>32616</v>
      </c>
      <c r="B23" s="3">
        <v>2030</v>
      </c>
      <c r="C23" s="50">
        <f t="shared" ref="C23:N25" si="5">C5+C11+C17</f>
        <v>32616</v>
      </c>
      <c r="D23" s="50">
        <f t="shared" si="5"/>
        <v>1860</v>
      </c>
      <c r="E23" s="50">
        <f t="shared" si="5"/>
        <v>1156.5999999999999</v>
      </c>
      <c r="F23" s="50">
        <f t="shared" si="5"/>
        <v>10601</v>
      </c>
      <c r="G23" s="50">
        <f t="shared" si="5"/>
        <v>2224</v>
      </c>
      <c r="H23" s="50">
        <f t="shared" si="5"/>
        <v>17706</v>
      </c>
      <c r="I23" s="50">
        <f t="shared" si="5"/>
        <v>1050</v>
      </c>
      <c r="J23" s="50">
        <f t="shared" si="5"/>
        <v>9911</v>
      </c>
      <c r="K23" s="50">
        <f t="shared" si="5"/>
        <v>53</v>
      </c>
      <c r="L23" s="50">
        <f t="shared" si="5"/>
        <v>417</v>
      </c>
      <c r="M23" s="50">
        <f t="shared" si="5"/>
        <v>620</v>
      </c>
      <c r="N23" s="50">
        <f t="shared" si="5"/>
        <v>3245</v>
      </c>
      <c r="O23" s="50">
        <f t="shared" si="3"/>
        <v>3</v>
      </c>
      <c r="P23" s="56"/>
      <c r="Q23" s="39">
        <f>G23+N23</f>
        <v>5469</v>
      </c>
      <c r="R23" s="5">
        <f>SUM(K23:L23)</f>
        <v>470</v>
      </c>
      <c r="T23" s="5">
        <f t="shared" ref="T23:T25" si="6">SUM(C23:O23)</f>
        <v>81462.600000000006</v>
      </c>
      <c r="V23" s="24"/>
      <c r="W23" s="26"/>
    </row>
    <row r="24" spans="1:23" ht="15" x14ac:dyDescent="0.25">
      <c r="A24" s="39">
        <f t="shared" si="4"/>
        <v>17196</v>
      </c>
      <c r="B24" s="3">
        <v>2040</v>
      </c>
      <c r="C24" s="50">
        <f t="shared" si="5"/>
        <v>17196</v>
      </c>
      <c r="D24" s="50">
        <f t="shared" si="5"/>
        <v>1860</v>
      </c>
      <c r="E24" s="50">
        <f t="shared" si="5"/>
        <v>6280.6</v>
      </c>
      <c r="F24" s="50">
        <f t="shared" si="5"/>
        <v>19617</v>
      </c>
      <c r="G24" s="50">
        <f t="shared" si="5"/>
        <v>2224</v>
      </c>
      <c r="H24" s="50">
        <f t="shared" si="5"/>
        <v>40900</v>
      </c>
      <c r="I24" s="50">
        <f t="shared" si="5"/>
        <v>1050</v>
      </c>
      <c r="J24" s="50">
        <f t="shared" si="5"/>
        <v>40767</v>
      </c>
      <c r="K24" s="50">
        <f t="shared" si="5"/>
        <v>308</v>
      </c>
      <c r="L24" s="50">
        <f t="shared" si="5"/>
        <v>417</v>
      </c>
      <c r="M24" s="50">
        <f t="shared" si="5"/>
        <v>3226</v>
      </c>
      <c r="N24" s="50">
        <f t="shared" si="5"/>
        <v>3245</v>
      </c>
      <c r="O24" s="50">
        <f t="shared" si="3"/>
        <v>6</v>
      </c>
      <c r="P24" s="56"/>
      <c r="Q24" s="39">
        <f>G24+N24</f>
        <v>5469</v>
      </c>
      <c r="R24" s="5">
        <f>SUM(K24:L24)</f>
        <v>725</v>
      </c>
      <c r="T24" s="5">
        <f t="shared" si="6"/>
        <v>137096.6</v>
      </c>
      <c r="V24" s="24"/>
      <c r="W24" s="26"/>
    </row>
    <row r="25" spans="1:23" ht="15" x14ac:dyDescent="0.25">
      <c r="A25" s="39">
        <f t="shared" si="4"/>
        <v>10206</v>
      </c>
      <c r="B25" s="3">
        <v>2050</v>
      </c>
      <c r="C25" s="50">
        <f t="shared" si="5"/>
        <v>10206</v>
      </c>
      <c r="D25" s="50">
        <f t="shared" si="5"/>
        <v>0</v>
      </c>
      <c r="E25" s="50">
        <f t="shared" si="5"/>
        <v>12136.6</v>
      </c>
      <c r="F25" s="50">
        <f t="shared" si="5"/>
        <v>25872</v>
      </c>
      <c r="G25" s="50">
        <f t="shared" si="5"/>
        <v>2224</v>
      </c>
      <c r="H25" s="50">
        <f t="shared" si="5"/>
        <v>59500</v>
      </c>
      <c r="I25" s="50">
        <f t="shared" si="5"/>
        <v>0</v>
      </c>
      <c r="J25" s="50">
        <f t="shared" si="5"/>
        <v>55300</v>
      </c>
      <c r="K25" s="50">
        <f t="shared" si="5"/>
        <v>280</v>
      </c>
      <c r="L25" s="50">
        <f t="shared" si="5"/>
        <v>264</v>
      </c>
      <c r="M25" s="50">
        <f t="shared" si="5"/>
        <v>3015</v>
      </c>
      <c r="N25" s="50">
        <f t="shared" si="5"/>
        <v>3245</v>
      </c>
      <c r="O25" s="50">
        <f t="shared" si="3"/>
        <v>6</v>
      </c>
      <c r="P25" s="56"/>
      <c r="Q25" s="39">
        <f>G25+N25</f>
        <v>5469</v>
      </c>
      <c r="R25" s="5">
        <f>SUM(K25:L25)</f>
        <v>544</v>
      </c>
      <c r="T25" s="5">
        <f t="shared" si="6"/>
        <v>172048.6</v>
      </c>
      <c r="V25" s="24"/>
      <c r="W25" s="26"/>
    </row>
    <row r="26" spans="1:23" ht="15" x14ac:dyDescent="0.25">
      <c r="A26" s="39"/>
      <c r="V26" s="11"/>
      <c r="W26" s="11"/>
    </row>
    <row r="27" spans="1:23" ht="15" x14ac:dyDescent="0.25">
      <c r="A27" s="39"/>
      <c r="B27" s="3">
        <v>2016</v>
      </c>
      <c r="C27" s="23">
        <f t="shared" ref="C27:O27" si="7">C22/$T22</f>
        <v>0.74086159250396799</v>
      </c>
      <c r="D27" s="23">
        <f t="shared" si="7"/>
        <v>3.74640466004399E-2</v>
      </c>
      <c r="E27" s="23">
        <f t="shared" si="7"/>
        <v>8.5522764443799904E-3</v>
      </c>
      <c r="F27" s="23">
        <f t="shared" si="7"/>
        <v>6.8865363078980654E-2</v>
      </c>
      <c r="G27" s="23">
        <f t="shared" si="7"/>
        <v>4.3889332012020721E-2</v>
      </c>
      <c r="H27" s="23">
        <f t="shared" si="7"/>
        <v>2.9407262385291535E-2</v>
      </c>
      <c r="I27" s="23">
        <f t="shared" si="7"/>
        <v>4.0283921075741826E-3</v>
      </c>
      <c r="J27" s="23">
        <f t="shared" si="7"/>
        <v>2.9789959635511083E-2</v>
      </c>
      <c r="K27" s="23">
        <f t="shared" si="7"/>
        <v>0</v>
      </c>
      <c r="L27" s="23">
        <f t="shared" si="7"/>
        <v>5.3174775819979214E-3</v>
      </c>
      <c r="M27" s="23">
        <f t="shared" si="7"/>
        <v>0</v>
      </c>
      <c r="N27" s="23">
        <f t="shared" si="7"/>
        <v>3.1824297649836047E-2</v>
      </c>
      <c r="O27" s="23">
        <f t="shared" si="7"/>
        <v>0</v>
      </c>
      <c r="P27" s="26"/>
      <c r="Q27" s="7">
        <f t="shared" ref="Q27:R30" si="8">Q22/$T22</f>
        <v>7.5713629661856768E-2</v>
      </c>
      <c r="R27" s="7">
        <f t="shared" si="8"/>
        <v>5.3174775819979214E-3</v>
      </c>
      <c r="T27" s="8">
        <f>SUM(C27:O27)</f>
        <v>1</v>
      </c>
    </row>
    <row r="28" spans="1:23" ht="15" x14ac:dyDescent="0.25">
      <c r="A28" s="39"/>
      <c r="B28" s="3">
        <v>2030</v>
      </c>
      <c r="C28" s="23">
        <f t="shared" ref="C28:O28" si="9">C23/$T23</f>
        <v>0.40038005170470864</v>
      </c>
      <c r="D28" s="23">
        <f t="shared" si="9"/>
        <v>2.2832563654977867E-2</v>
      </c>
      <c r="E28" s="23">
        <f t="shared" si="9"/>
        <v>1.4197926410401827E-2</v>
      </c>
      <c r="F28" s="23">
        <f t="shared" si="9"/>
        <v>0.13013333726151632</v>
      </c>
      <c r="G28" s="23">
        <f t="shared" si="9"/>
        <v>2.730087181111332E-2</v>
      </c>
      <c r="H28" s="23">
        <f t="shared" si="9"/>
        <v>0.21735127530916026</v>
      </c>
      <c r="I28" s="23">
        <f t="shared" si="9"/>
        <v>1.2889350450390731E-2</v>
      </c>
      <c r="J28" s="23">
        <f t="shared" si="9"/>
        <v>0.12166319267983099</v>
      </c>
      <c r="K28" s="23">
        <f t="shared" si="9"/>
        <v>6.5060530844829399E-4</v>
      </c>
      <c r="L28" s="23">
        <f t="shared" si="9"/>
        <v>5.1189134645837474E-3</v>
      </c>
      <c r="M28" s="23">
        <f t="shared" si="9"/>
        <v>7.6108545516592888E-3</v>
      </c>
      <c r="N28" s="23">
        <f t="shared" si="9"/>
        <v>3.9834230677636112E-2</v>
      </c>
      <c r="O28" s="23">
        <f t="shared" si="9"/>
        <v>3.6826715572544947E-5</v>
      </c>
      <c r="P28" s="26"/>
      <c r="Q28" s="7">
        <f t="shared" si="8"/>
        <v>6.7135102488749432E-2</v>
      </c>
      <c r="R28" s="7">
        <f t="shared" si="8"/>
        <v>5.7695187730320415E-3</v>
      </c>
      <c r="T28" s="8">
        <f t="shared" ref="T28:T30" si="10">SUM(C28:O28)</f>
        <v>1</v>
      </c>
    </row>
    <row r="29" spans="1:23" ht="15" x14ac:dyDescent="0.25">
      <c r="A29" s="39"/>
      <c r="B29" s="3">
        <v>2040</v>
      </c>
      <c r="C29" s="23">
        <f t="shared" ref="C29:O29" si="11">C24/$T24</f>
        <v>0.12542980642845994</v>
      </c>
      <c r="D29" s="23">
        <f t="shared" si="11"/>
        <v>1.3567076061696642E-2</v>
      </c>
      <c r="E29" s="23">
        <f t="shared" si="11"/>
        <v>4.5811493501662331E-2</v>
      </c>
      <c r="F29" s="23">
        <f t="shared" si="11"/>
        <v>0.14308888768941022</v>
      </c>
      <c r="G29" s="23">
        <f t="shared" si="11"/>
        <v>1.6222138258716847E-2</v>
      </c>
      <c r="H29" s="23">
        <f t="shared" si="11"/>
        <v>0.29832979081902833</v>
      </c>
      <c r="I29" s="23">
        <f t="shared" si="11"/>
        <v>7.6588332606352012E-3</v>
      </c>
      <c r="J29" s="23">
        <f t="shared" si="11"/>
        <v>0.29735967193934787</v>
      </c>
      <c r="K29" s="23">
        <f t="shared" si="11"/>
        <v>2.2465910897863255E-3</v>
      </c>
      <c r="L29" s="23">
        <f t="shared" si="11"/>
        <v>3.0416509235094086E-3</v>
      </c>
      <c r="M29" s="23">
        <f t="shared" si="11"/>
        <v>2.3530853427437295E-2</v>
      </c>
      <c r="N29" s="23">
        <f t="shared" si="11"/>
        <v>2.3669441838820218E-2</v>
      </c>
      <c r="O29" s="23">
        <f t="shared" si="11"/>
        <v>4.376476148934401E-5</v>
      </c>
      <c r="P29" s="26"/>
      <c r="Q29" s="7">
        <f t="shared" si="8"/>
        <v>3.9891580097537065E-2</v>
      </c>
      <c r="R29" s="7">
        <f t="shared" si="8"/>
        <v>5.2882420132957346E-3</v>
      </c>
      <c r="T29" s="8">
        <f t="shared" si="10"/>
        <v>1</v>
      </c>
    </row>
    <row r="30" spans="1:23" ht="15" x14ac:dyDescent="0.25">
      <c r="A30" s="39"/>
      <c r="B30" s="3">
        <v>2050</v>
      </c>
      <c r="C30" s="23">
        <f t="shared" ref="C30:O30" si="12">C25/$T25</f>
        <v>5.9320447826951221E-2</v>
      </c>
      <c r="D30" s="23">
        <f t="shared" si="12"/>
        <v>0</v>
      </c>
      <c r="E30" s="23">
        <f t="shared" si="12"/>
        <v>7.0541695776658461E-2</v>
      </c>
      <c r="F30" s="23">
        <f t="shared" si="12"/>
        <v>0.15037611465597511</v>
      </c>
      <c r="G30" s="23">
        <f t="shared" si="12"/>
        <v>1.29265800477307E-2</v>
      </c>
      <c r="H30" s="23">
        <f t="shared" si="12"/>
        <v>0.34583251476617655</v>
      </c>
      <c r="I30" s="23">
        <f t="shared" si="12"/>
        <v>0</v>
      </c>
      <c r="J30" s="23">
        <f t="shared" si="12"/>
        <v>0.32142080784150523</v>
      </c>
      <c r="K30" s="23">
        <f t="shared" si="12"/>
        <v>1.627447128311419E-3</v>
      </c>
      <c r="L30" s="23">
        <f t="shared" si="12"/>
        <v>1.5344501495507664E-3</v>
      </c>
      <c r="M30" s="23">
        <f t="shared" si="12"/>
        <v>1.7524118185210456E-2</v>
      </c>
      <c r="N30" s="23">
        <f t="shared" si="12"/>
        <v>1.8860949754894836E-2</v>
      </c>
      <c r="O30" s="23">
        <f t="shared" si="12"/>
        <v>3.487386703524469E-5</v>
      </c>
      <c r="P30" s="26"/>
      <c r="Q30" s="7">
        <f t="shared" si="8"/>
        <v>3.1787529802625537E-2</v>
      </c>
      <c r="R30" s="7">
        <f t="shared" si="8"/>
        <v>3.1618972778621854E-3</v>
      </c>
      <c r="T30" s="8">
        <f t="shared" si="10"/>
        <v>1</v>
      </c>
    </row>
    <row r="31" spans="1:23" x14ac:dyDescent="0.3">
      <c r="A31" s="39"/>
    </row>
    <row r="32" spans="1:23" s="9" customFormat="1" ht="21" x14ac:dyDescent="0.4">
      <c r="A32" s="86"/>
      <c r="B32" s="10" t="s">
        <v>53</v>
      </c>
    </row>
    <row r="33" spans="1:37" ht="28.8" x14ac:dyDescent="0.3">
      <c r="A33" s="39"/>
      <c r="B33" s="43" t="s">
        <v>34</v>
      </c>
      <c r="C33" s="43" t="s">
        <v>0</v>
      </c>
      <c r="D33" s="43" t="s">
        <v>1</v>
      </c>
      <c r="E33" s="43" t="s">
        <v>28</v>
      </c>
      <c r="F33" s="2" t="s">
        <v>29</v>
      </c>
      <c r="G33" s="2" t="s">
        <v>6</v>
      </c>
      <c r="H33" s="43" t="s">
        <v>2</v>
      </c>
      <c r="I33" s="43" t="s">
        <v>3</v>
      </c>
      <c r="J33" s="43" t="s">
        <v>4</v>
      </c>
      <c r="K33" s="43" t="s">
        <v>9</v>
      </c>
      <c r="L33" s="43" t="s">
        <v>8</v>
      </c>
      <c r="M33" s="43" t="s">
        <v>25</v>
      </c>
      <c r="N33" s="43" t="s">
        <v>7</v>
      </c>
      <c r="O33" s="43" t="s">
        <v>89</v>
      </c>
      <c r="P33" s="25"/>
      <c r="Q33" s="43" t="s">
        <v>5</v>
      </c>
      <c r="R33" s="43" t="s">
        <v>91</v>
      </c>
      <c r="T33" s="43" t="s">
        <v>10</v>
      </c>
      <c r="X33" s="39"/>
      <c r="Y33" s="39"/>
      <c r="Z33" s="39"/>
    </row>
    <row r="34" spans="1:37" x14ac:dyDescent="0.3">
      <c r="A34" s="39"/>
      <c r="B34" s="3">
        <v>2016</v>
      </c>
      <c r="C34" s="50">
        <f>'HC-BC'!C34</f>
        <v>194808.80434990322</v>
      </c>
      <c r="D34" s="50">
        <f>'HC-BC'!D34</f>
        <v>14743.87884401034</v>
      </c>
      <c r="E34" s="50">
        <f>'HC-BC'!E34</f>
        <v>756.07675598824017</v>
      </c>
      <c r="F34" s="50">
        <f>'HC-BC'!F34</f>
        <v>2024.3136712665919</v>
      </c>
      <c r="G34" s="50">
        <f>'HC-BC'!G34</f>
        <v>15799.124268819065</v>
      </c>
      <c r="H34" s="50">
        <f>'HC-BC'!H34</f>
        <v>4022.2162852660199</v>
      </c>
      <c r="I34" s="50">
        <f>'HC-BC'!I34</f>
        <v>827.66992563012559</v>
      </c>
      <c r="J34" s="50">
        <f>'HC-BC'!J34</f>
        <v>2639.0862346009021</v>
      </c>
      <c r="K34" s="50">
        <f>'HC-BC'!K34</f>
        <v>0</v>
      </c>
      <c r="L34" s="50">
        <f>'HC-BC'!L34</f>
        <v>1583.7347303540462</v>
      </c>
      <c r="M34" s="50">
        <f>'HC-BC'!M34</f>
        <v>0</v>
      </c>
      <c r="N34" s="50">
        <f>'HC-BC'!N34</f>
        <v>2994.3929759978951</v>
      </c>
      <c r="O34" s="50">
        <f>'HC-BC'!P34</f>
        <v>0</v>
      </c>
      <c r="P34" s="56"/>
      <c r="Q34" s="39">
        <f>G34+N34</f>
        <v>18793.517244816961</v>
      </c>
      <c r="R34" s="5">
        <f>SUM(K34:L34)</f>
        <v>1583.7347303540462</v>
      </c>
      <c r="T34" s="5">
        <f>SUM(C34:O34)</f>
        <v>240199.29804183645</v>
      </c>
      <c r="X34" s="39"/>
      <c r="Y34" s="39"/>
      <c r="Z34" s="39"/>
      <c r="AA34" s="39"/>
      <c r="AB34" s="39"/>
    </row>
    <row r="35" spans="1:37" x14ac:dyDescent="0.3">
      <c r="A35" s="39"/>
      <c r="B35" s="3">
        <v>2030</v>
      </c>
      <c r="C35" s="44">
        <f>Y35*(Inputs_Summary!$N73/$Y53)</f>
        <v>125317.16843102456</v>
      </c>
      <c r="D35" s="102">
        <f>Z35*(Inputs_Summary!$N73/$Y53)</f>
        <v>14581.560273556133</v>
      </c>
      <c r="E35" s="102">
        <f>AA35*(Inputs_Summary!$N73/$Y53)</f>
        <v>2226.6050697518913</v>
      </c>
      <c r="F35" s="102">
        <f>AB35*(Inputs_Summary!$N73/$Y53)</f>
        <v>225.41443903580759</v>
      </c>
      <c r="G35" s="102">
        <f>AC35*(Inputs_Summary!$N73/$Y53)</f>
        <v>12496.73170618423</v>
      </c>
      <c r="H35" s="102">
        <f>AD35*(Inputs_Summary!$N73/$Y53)</f>
        <v>4186.9967069773311</v>
      </c>
      <c r="I35" s="102">
        <f>AE35*(Inputs_Summary!$N73/$Y53)</f>
        <v>840.45926590726458</v>
      </c>
      <c r="J35" s="102">
        <f>AF35*(Inputs_Summary!$N73/$Y53)</f>
        <v>2623.3752814484033</v>
      </c>
      <c r="K35" s="102">
        <f>AG35*(Inputs_Summary!$N73/$Y53)</f>
        <v>0</v>
      </c>
      <c r="L35" s="102">
        <f>AH35*(Inputs_Summary!$N73/$Y53)</f>
        <v>1561.5814758543956</v>
      </c>
      <c r="M35" s="102">
        <f>AI35*(Inputs_Summary!$N73/$Y53)</f>
        <v>0</v>
      </c>
      <c r="N35" s="102">
        <f>AJ35*(Inputs_Summary!$N73/$Y53)</f>
        <v>2632.5550549837981</v>
      </c>
      <c r="O35" s="102">
        <f>AK35*(Inputs_Summary!$N73/$Y53)</f>
        <v>0</v>
      </c>
      <c r="P35" s="56"/>
      <c r="Q35" s="39">
        <f>G35+N35</f>
        <v>15129.286761168027</v>
      </c>
      <c r="R35" s="5">
        <f>SUM(K35:L35)</f>
        <v>1561.5814758543956</v>
      </c>
      <c r="T35" s="5">
        <f t="shared" ref="T35:T37" si="13">SUM(C35:O35)</f>
        <v>166692.44770472377</v>
      </c>
      <c r="Y35" s="39">
        <v>122863</v>
      </c>
      <c r="Z35" s="39">
        <v>14296</v>
      </c>
      <c r="AA35" s="39">
        <v>2183</v>
      </c>
      <c r="AB35" s="39">
        <v>221</v>
      </c>
      <c r="AC35" s="39">
        <v>12252</v>
      </c>
      <c r="AD35" s="39">
        <v>4105</v>
      </c>
      <c r="AE35" s="3">
        <v>824</v>
      </c>
      <c r="AF35" s="39">
        <v>2572</v>
      </c>
      <c r="AG35" s="3">
        <v>0</v>
      </c>
      <c r="AH35" s="39">
        <v>1531</v>
      </c>
      <c r="AI35" s="3">
        <v>0</v>
      </c>
      <c r="AJ35" s="39">
        <v>2581</v>
      </c>
    </row>
    <row r="36" spans="1:37" x14ac:dyDescent="0.3">
      <c r="A36" s="39"/>
      <c r="B36" s="3">
        <v>2040</v>
      </c>
      <c r="C36" s="102">
        <f>Y36*(Inputs_Summary!$N74/$Y54)</f>
        <v>34901.586350375372</v>
      </c>
      <c r="D36" s="102">
        <f>Z36*(Inputs_Summary!$N74/$Y54)</f>
        <v>13947.981032985082</v>
      </c>
      <c r="E36" s="102">
        <f>AA36*(Inputs_Summary!$N74/$Y54)</f>
        <v>2240.4741654971358</v>
      </c>
      <c r="F36" s="102">
        <f>AB36*(Inputs_Summary!$N74/$Y54)</f>
        <v>77.326988230963451</v>
      </c>
      <c r="G36" s="102">
        <f>AC36*(Inputs_Summary!$N74/$Y54)</f>
        <v>11648.256318064221</v>
      </c>
      <c r="H36" s="102">
        <f>AD36*(Inputs_Summary!$N74/$Y54)</f>
        <v>0</v>
      </c>
      <c r="I36" s="102">
        <f>AE36*(Inputs_Summary!$N74/$Y54)</f>
        <v>843.56714433778302</v>
      </c>
      <c r="J36" s="102">
        <f>AF36*(Inputs_Summary!$N74/$Y54)</f>
        <v>776.28262211084086</v>
      </c>
      <c r="K36" s="102">
        <f>AG36*(Inputs_Summary!$N74/$Y54)</f>
        <v>0</v>
      </c>
      <c r="L36" s="102">
        <f>AH36*(Inputs_Summary!$N74/$Y54)</f>
        <v>1580.6841490329411</v>
      </c>
      <c r="M36" s="102">
        <f>AI36*(Inputs_Summary!$N74/$Y54)</f>
        <v>0</v>
      </c>
      <c r="N36" s="102">
        <f>AJ36*(Inputs_Summary!$N74/$Y54)</f>
        <v>2913.3193877665576</v>
      </c>
      <c r="O36" s="102">
        <f>AK36*(Inputs_Summary!$N74/$Y54)</f>
        <v>0</v>
      </c>
      <c r="P36" s="56"/>
      <c r="Q36" s="39">
        <f>G36+N36</f>
        <v>14561.575705830779</v>
      </c>
      <c r="R36" s="5">
        <f>SUM(K36:L36)</f>
        <v>1580.6841490329411</v>
      </c>
      <c r="T36" s="5">
        <f t="shared" si="13"/>
        <v>68929.478158400889</v>
      </c>
      <c r="Y36" s="39">
        <v>34754</v>
      </c>
      <c r="Z36" s="39">
        <v>13889</v>
      </c>
      <c r="AA36" s="39">
        <v>2231</v>
      </c>
      <c r="AB36" s="39">
        <v>77</v>
      </c>
      <c r="AC36" s="39">
        <v>11599</v>
      </c>
      <c r="AD36" s="39">
        <v>0</v>
      </c>
      <c r="AE36" s="3">
        <v>840</v>
      </c>
      <c r="AF36" s="39">
        <v>773</v>
      </c>
      <c r="AG36" s="3">
        <v>0</v>
      </c>
      <c r="AH36" s="39">
        <v>1574</v>
      </c>
      <c r="AI36" s="3">
        <v>0</v>
      </c>
      <c r="AJ36" s="39">
        <v>2901</v>
      </c>
    </row>
    <row r="37" spans="1:37" x14ac:dyDescent="0.3">
      <c r="A37" s="39"/>
      <c r="B37" s="3">
        <v>2050</v>
      </c>
      <c r="C37" s="102">
        <f>Y37*(Inputs_Summary!$N75/$Y55)</f>
        <v>0</v>
      </c>
      <c r="D37" s="102">
        <f>Z37*(Inputs_Summary!$N75/$Y55)</f>
        <v>0</v>
      </c>
      <c r="E37" s="102">
        <f>AA37*(Inputs_Summary!$N75/$Y55)</f>
        <v>2258.2642072020521</v>
      </c>
      <c r="F37" s="102">
        <f>AB37*(Inputs_Summary!$N75/$Y55)</f>
        <v>0</v>
      </c>
      <c r="G37" s="102">
        <f>AC37*(Inputs_Summary!$N75/$Y55)</f>
        <v>11158.003049915864</v>
      </c>
      <c r="H37" s="102">
        <f>AD37*(Inputs_Summary!$N75/$Y55)</f>
        <v>0</v>
      </c>
      <c r="I37" s="102">
        <f>AE37*(Inputs_Summary!$N75/$Y55)</f>
        <v>0</v>
      </c>
      <c r="J37" s="102">
        <f>AF37*(Inputs_Summary!$N75/$Y55)</f>
        <v>0</v>
      </c>
      <c r="K37" s="102">
        <f>AG37*(Inputs_Summary!$N75/$Y55)</f>
        <v>0</v>
      </c>
      <c r="L37" s="102">
        <f>AH37*(Inputs_Summary!$N75/$Y55)</f>
        <v>1639.5059205959919</v>
      </c>
      <c r="M37" s="102">
        <f>AI37*(Inputs_Summary!$N75/$Y55)</f>
        <v>0</v>
      </c>
      <c r="N37" s="102">
        <f>AJ37*(Inputs_Summary!$N75/$Y55)</f>
        <v>2886.1817447611629</v>
      </c>
      <c r="O37" s="102">
        <f>AK37*(Inputs_Summary!$N75/$Y55)</f>
        <v>0</v>
      </c>
      <c r="P37" s="56"/>
      <c r="Q37" s="39">
        <f>G37+N37</f>
        <v>14044.184794677027</v>
      </c>
      <c r="R37" s="5">
        <f>SUM(K37:L37)</f>
        <v>1639.5059205959919</v>
      </c>
      <c r="T37" s="5">
        <f t="shared" si="13"/>
        <v>17941.95492247507</v>
      </c>
      <c r="Y37" s="39">
        <v>0</v>
      </c>
      <c r="Z37" s="39">
        <v>0</v>
      </c>
      <c r="AA37" s="39">
        <v>2219</v>
      </c>
      <c r="AB37" s="3">
        <v>0</v>
      </c>
      <c r="AC37" s="39">
        <v>10964</v>
      </c>
      <c r="AD37" s="39">
        <v>0</v>
      </c>
      <c r="AE37" s="3">
        <v>0</v>
      </c>
      <c r="AF37" s="3">
        <v>0</v>
      </c>
      <c r="AG37" s="3">
        <v>0</v>
      </c>
      <c r="AH37" s="39">
        <v>1611</v>
      </c>
      <c r="AI37" s="3">
        <v>0</v>
      </c>
      <c r="AJ37" s="39">
        <v>2836</v>
      </c>
    </row>
    <row r="38" spans="1:37" x14ac:dyDescent="0.3">
      <c r="A38" s="39"/>
      <c r="Q38" s="5"/>
      <c r="R38" s="5"/>
      <c r="S38" s="5"/>
      <c r="X38" s="39"/>
      <c r="Y38" s="39"/>
      <c r="Z38" s="39"/>
      <c r="AA38" s="39"/>
      <c r="AB38" s="39"/>
    </row>
    <row r="39" spans="1:37" ht="28.8" x14ac:dyDescent="0.3">
      <c r="A39" s="39"/>
      <c r="B39" s="43" t="s">
        <v>35</v>
      </c>
      <c r="C39" s="43" t="s">
        <v>0</v>
      </c>
      <c r="D39" s="43" t="s">
        <v>1</v>
      </c>
      <c r="E39" s="43" t="s">
        <v>28</v>
      </c>
      <c r="F39" s="2" t="s">
        <v>29</v>
      </c>
      <c r="G39" s="2" t="s">
        <v>6</v>
      </c>
      <c r="H39" s="43" t="s">
        <v>2</v>
      </c>
      <c r="I39" s="43" t="s">
        <v>3</v>
      </c>
      <c r="J39" s="43" t="s">
        <v>4</v>
      </c>
      <c r="K39" s="43" t="s">
        <v>9</v>
      </c>
      <c r="L39" s="43" t="s">
        <v>8</v>
      </c>
      <c r="M39" s="43" t="s">
        <v>25</v>
      </c>
      <c r="N39" s="43" t="s">
        <v>7</v>
      </c>
      <c r="O39" s="43" t="s">
        <v>89</v>
      </c>
      <c r="P39" s="25"/>
      <c r="Q39" s="43" t="s">
        <v>5</v>
      </c>
      <c r="R39" s="43" t="s">
        <v>91</v>
      </c>
      <c r="T39" s="43" t="s">
        <v>10</v>
      </c>
      <c r="X39" s="39"/>
      <c r="Y39" s="39"/>
      <c r="Z39" s="39"/>
    </row>
    <row r="40" spans="1:37" x14ac:dyDescent="0.3">
      <c r="A40" s="39"/>
      <c r="B40" s="3">
        <v>2016</v>
      </c>
      <c r="C40" s="50">
        <f>'HC-BC'!C40</f>
        <v>5136.7169876182643</v>
      </c>
      <c r="D40" s="50">
        <f>'HC-BC'!D40</f>
        <v>0</v>
      </c>
      <c r="E40" s="50">
        <f>'HC-BC'!E40</f>
        <v>0</v>
      </c>
      <c r="F40" s="50">
        <f>'HC-BC'!F40</f>
        <v>0</v>
      </c>
      <c r="G40" s="50">
        <f>'HC-BC'!G40</f>
        <v>0</v>
      </c>
      <c r="H40" s="50">
        <f>'HC-BC'!H40</f>
        <v>474.28890346943319</v>
      </c>
      <c r="I40" s="50">
        <f>'HC-BC'!I40</f>
        <v>83.723084328086344</v>
      </c>
      <c r="J40" s="50">
        <f>'HC-BC'!J40</f>
        <v>0</v>
      </c>
      <c r="K40" s="50">
        <f>'HC-BC'!K40</f>
        <v>0</v>
      </c>
      <c r="L40" s="50">
        <f>'HC-BC'!L40</f>
        <v>38.501168859598259</v>
      </c>
      <c r="M40" s="50">
        <f>'HC-BC'!M40</f>
        <v>0</v>
      </c>
      <c r="N40" s="50">
        <f>'HC-BC'!N40</f>
        <v>0</v>
      </c>
      <c r="O40" s="50">
        <f>'HC-BC'!P40</f>
        <v>0</v>
      </c>
      <c r="P40" s="56"/>
      <c r="Q40" s="39">
        <f>G40+N40</f>
        <v>0</v>
      </c>
      <c r="R40" s="5">
        <f>SUM(K40:L40)</f>
        <v>38.501168859598259</v>
      </c>
      <c r="T40" s="5">
        <f>SUM(C40:O40)</f>
        <v>5733.2301442753833</v>
      </c>
      <c r="X40" s="39"/>
      <c r="Y40" s="39"/>
      <c r="Z40" s="39"/>
      <c r="AA40" s="39"/>
      <c r="AB40" s="39"/>
    </row>
    <row r="41" spans="1:37" x14ac:dyDescent="0.3">
      <c r="A41" s="39"/>
      <c r="B41" s="3">
        <v>2030</v>
      </c>
      <c r="C41" s="44">
        <f>Y41*(Inputs_Summary!$N73/$Y53)</f>
        <v>66378.942434440367</v>
      </c>
      <c r="D41" s="102">
        <f>Z41*(Inputs_Summary!$N73/$Y53)</f>
        <v>0</v>
      </c>
      <c r="E41" s="102">
        <f>AA41*(Inputs_Summary!$N73/$Y53)</f>
        <v>0</v>
      </c>
      <c r="F41" s="102">
        <f>AB41*(Inputs_Summary!$N73/$Y53)</f>
        <v>0</v>
      </c>
      <c r="G41" s="102">
        <f>AC41*(Inputs_Summary!$N73/$Y53)</f>
        <v>199.91506810415515</v>
      </c>
      <c r="H41" s="102">
        <f>AD41*(Inputs_Summary!$N73/$Y53)</f>
        <v>8977.8185176161915</v>
      </c>
      <c r="I41" s="102">
        <f>AE41*(Inputs_Summary!$N73/$Y53)</f>
        <v>4212.4960779089834</v>
      </c>
      <c r="J41" s="102">
        <f>AF41*(Inputs_Summary!$N73/$Y53)</f>
        <v>2363.2816979455483</v>
      </c>
      <c r="K41" s="102">
        <f>AG41*(Inputs_Summary!$N73/$Y53)</f>
        <v>353.93126853133589</v>
      </c>
      <c r="L41" s="102">
        <f>AH41*(Inputs_Summary!$N73/$Y53)</f>
        <v>1024.054736615162</v>
      </c>
      <c r="M41" s="102">
        <f>AI41*(Inputs_Summary!$N73/$Y53)</f>
        <v>0</v>
      </c>
      <c r="N41" s="102">
        <f>AJ41*(Inputs_Summary!$N73/$Y53)</f>
        <v>2993.6261473759969</v>
      </c>
      <c r="O41" s="102">
        <f>AK41*(Inputs_Summary!$N73/$Y53)</f>
        <v>0</v>
      </c>
      <c r="P41" s="56"/>
      <c r="Q41" s="39">
        <f>G41+N41</f>
        <v>3193.541215480152</v>
      </c>
      <c r="R41" s="5">
        <f>SUM(K41:L41)</f>
        <v>1377.986005146498</v>
      </c>
      <c r="T41" s="5">
        <f t="shared" ref="T41:T43" si="14">SUM(C41:O41)</f>
        <v>86504.06594853774</v>
      </c>
      <c r="Y41" s="39">
        <v>65079</v>
      </c>
      <c r="Z41" s="39">
        <v>0</v>
      </c>
      <c r="AA41" s="39">
        <v>0</v>
      </c>
      <c r="AB41" s="39">
        <v>0</v>
      </c>
      <c r="AC41" s="39">
        <v>196</v>
      </c>
      <c r="AD41" s="39">
        <v>8802</v>
      </c>
      <c r="AE41" s="39">
        <v>4130</v>
      </c>
      <c r="AF41" s="39">
        <v>2317</v>
      </c>
      <c r="AG41" s="3">
        <v>347</v>
      </c>
      <c r="AH41" s="39">
        <v>1004</v>
      </c>
      <c r="AI41" s="3">
        <v>0</v>
      </c>
      <c r="AJ41" s="39">
        <v>2935</v>
      </c>
    </row>
    <row r="42" spans="1:37" x14ac:dyDescent="0.3">
      <c r="A42" s="39"/>
      <c r="B42" s="3">
        <v>2040</v>
      </c>
      <c r="C42" s="102">
        <f>Y42*(Inputs_Summary!$N74/$Y54)</f>
        <v>62806.586635749154</v>
      </c>
      <c r="D42" s="102">
        <f>Z42*(Inputs_Summary!$N74/$Y54)</f>
        <v>0</v>
      </c>
      <c r="E42" s="102">
        <f>AA42*(Inputs_Summary!$N74/$Y54)</f>
        <v>0</v>
      </c>
      <c r="F42" s="102">
        <f>AB42*(Inputs_Summary!$N74/$Y54)</f>
        <v>0</v>
      </c>
      <c r="G42" s="102">
        <f>AC42*(Inputs_Summary!$N74/$Y54)</f>
        <v>200.84932008042452</v>
      </c>
      <c r="H42" s="102">
        <f>AD42*(Inputs_Summary!$N74/$Y54)</f>
        <v>0</v>
      </c>
      <c r="I42" s="102">
        <f>AE42*(Inputs_Summary!$N74/$Y54)</f>
        <v>4219.8442148897193</v>
      </c>
      <c r="J42" s="102">
        <f>AF42*(Inputs_Summary!$N74/$Y54)</f>
        <v>2377.0517031518243</v>
      </c>
      <c r="K42" s="102">
        <f>AG42*(Inputs_Summary!$N74/$Y54)</f>
        <v>355.50329654235139</v>
      </c>
      <c r="L42" s="102">
        <f>AH42*(Inputs_Summary!$N74/$Y54)</f>
        <v>1029.3527654121758</v>
      </c>
      <c r="M42" s="102">
        <f>AI42*(Inputs_Summary!$N74/$Y54)</f>
        <v>0</v>
      </c>
      <c r="N42" s="102">
        <f>AJ42*(Inputs_Summary!$N74/$Y54)</f>
        <v>3127.2239136522098</v>
      </c>
      <c r="O42" s="102">
        <f>AK42*(Inputs_Summary!$N74/$Y54)</f>
        <v>0</v>
      </c>
      <c r="P42" s="56"/>
      <c r="Q42" s="39">
        <f>G42+N42</f>
        <v>3328.0732337326344</v>
      </c>
      <c r="R42" s="5">
        <f>SUM(K42:L42)</f>
        <v>1384.8560619545271</v>
      </c>
      <c r="T42" s="5">
        <f t="shared" si="14"/>
        <v>74116.411849477852</v>
      </c>
      <c r="Y42" s="39">
        <v>62541</v>
      </c>
      <c r="Z42" s="39">
        <v>0</v>
      </c>
      <c r="AA42" s="3">
        <v>0</v>
      </c>
      <c r="AB42" s="39">
        <v>0</v>
      </c>
      <c r="AC42" s="39">
        <v>200</v>
      </c>
      <c r="AD42" s="39">
        <v>0</v>
      </c>
      <c r="AE42" s="39">
        <v>4202</v>
      </c>
      <c r="AF42" s="39">
        <v>2367</v>
      </c>
      <c r="AG42" s="3">
        <v>354</v>
      </c>
      <c r="AH42" s="39">
        <v>1025</v>
      </c>
      <c r="AI42" s="3">
        <v>0</v>
      </c>
      <c r="AJ42" s="39">
        <v>3114</v>
      </c>
    </row>
    <row r="43" spans="1:37" x14ac:dyDescent="0.3">
      <c r="A43" s="39"/>
      <c r="B43" s="3">
        <v>2050</v>
      </c>
      <c r="C43" s="102">
        <f>Y43*(Inputs_Summary!$N75/$Y55)</f>
        <v>60165.084121486318</v>
      </c>
      <c r="D43" s="102">
        <f>Z43*(Inputs_Summary!$N75/$Y55)</f>
        <v>0</v>
      </c>
      <c r="E43" s="102">
        <f>AA43*(Inputs_Summary!$N75/$Y55)</f>
        <v>0</v>
      </c>
      <c r="F43" s="102">
        <f>AB43*(Inputs_Summary!$N75/$Y55)</f>
        <v>0</v>
      </c>
      <c r="G43" s="102">
        <f>AC43*(Inputs_Summary!$N75/$Y55)</f>
        <v>200.48582641676626</v>
      </c>
      <c r="H43" s="102">
        <f>AD43*(Inputs_Summary!$N75/$Y55)</f>
        <v>0</v>
      </c>
      <c r="I43" s="102">
        <f>AE43*(Inputs_Summary!$N75/$Y55)</f>
        <v>0</v>
      </c>
      <c r="J43" s="102">
        <f>AF43*(Inputs_Summary!$N75/$Y55)</f>
        <v>0</v>
      </c>
      <c r="K43" s="102">
        <f>AG43*(Inputs_Summary!$N75/$Y55)</f>
        <v>0</v>
      </c>
      <c r="L43" s="102">
        <f>AH43*(Inputs_Summary!$N75/$Y55)</f>
        <v>0</v>
      </c>
      <c r="M43" s="102">
        <f>AI43*(Inputs_Summary!$N75/$Y55)</f>
        <v>0</v>
      </c>
      <c r="N43" s="102">
        <f>AJ43*(Inputs_Summary!$N75/$Y55)</f>
        <v>3166.0477461043647</v>
      </c>
      <c r="O43" s="102">
        <f>AK43*(Inputs_Summary!$N75/$Y55)</f>
        <v>0</v>
      </c>
      <c r="P43" s="56"/>
      <c r="Q43" s="39">
        <f>G43+N43</f>
        <v>3366.5335725211307</v>
      </c>
      <c r="R43" s="5">
        <f>SUM(K43:L43)</f>
        <v>0</v>
      </c>
      <c r="T43" s="5">
        <f t="shared" si="14"/>
        <v>63531.617694007444</v>
      </c>
      <c r="X43" s="39"/>
      <c r="Y43" s="39">
        <v>59119</v>
      </c>
      <c r="Z43" s="39">
        <v>0</v>
      </c>
      <c r="AA43" s="3">
        <v>0</v>
      </c>
      <c r="AB43" s="3">
        <v>0</v>
      </c>
      <c r="AC43" s="39">
        <v>197</v>
      </c>
      <c r="AD43" s="39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9">
        <v>3111</v>
      </c>
    </row>
    <row r="44" spans="1:37" x14ac:dyDescent="0.3">
      <c r="A44" s="39"/>
      <c r="Q44" s="5"/>
      <c r="R44" s="5"/>
      <c r="S44" s="5"/>
      <c r="X44" s="39"/>
      <c r="Y44" s="39"/>
      <c r="Z44" s="39"/>
      <c r="AA44" s="39"/>
      <c r="AB44" s="39"/>
    </row>
    <row r="45" spans="1:37" ht="28.8" x14ac:dyDescent="0.3">
      <c r="A45" s="39"/>
      <c r="B45" s="43" t="s">
        <v>36</v>
      </c>
      <c r="C45" s="43" t="s">
        <v>0</v>
      </c>
      <c r="D45" s="43" t="s">
        <v>1</v>
      </c>
      <c r="E45" s="43" t="s">
        <v>28</v>
      </c>
      <c r="F45" s="2" t="s">
        <v>29</v>
      </c>
      <c r="G45" s="2" t="s">
        <v>6</v>
      </c>
      <c r="H45" s="43" t="s">
        <v>2</v>
      </c>
      <c r="I45" s="43" t="s">
        <v>3</v>
      </c>
      <c r="J45" s="43" t="s">
        <v>4</v>
      </c>
      <c r="K45" s="43" t="s">
        <v>9</v>
      </c>
      <c r="L45" s="43" t="s">
        <v>8</v>
      </c>
      <c r="M45" s="43" t="s">
        <v>25</v>
      </c>
      <c r="N45" s="43" t="s">
        <v>7</v>
      </c>
      <c r="O45" s="43" t="s">
        <v>89</v>
      </c>
      <c r="P45" s="25"/>
      <c r="Q45" s="43" t="s">
        <v>5</v>
      </c>
      <c r="R45" s="43" t="s">
        <v>91</v>
      </c>
      <c r="T45" s="43" t="s">
        <v>10</v>
      </c>
      <c r="X45" s="39"/>
      <c r="Y45" s="39"/>
      <c r="Z45" s="39"/>
      <c r="AB45" s="39"/>
      <c r="AC45" s="39"/>
      <c r="AD45" s="39"/>
    </row>
    <row r="46" spans="1:37" x14ac:dyDescent="0.3">
      <c r="A46" s="39"/>
      <c r="B46" s="3">
        <v>2016</v>
      </c>
      <c r="C46" s="50">
        <f>'HC-BC'!C46</f>
        <v>0</v>
      </c>
      <c r="D46" s="50">
        <f>'HC-BC'!D46</f>
        <v>0</v>
      </c>
      <c r="E46" s="50">
        <f>'HC-BC'!E46</f>
        <v>0</v>
      </c>
      <c r="F46" s="50">
        <f>'HC-BC'!F46</f>
        <v>0</v>
      </c>
      <c r="G46" s="50">
        <f>'HC-BC'!G46</f>
        <v>0</v>
      </c>
      <c r="H46" s="50">
        <f>'HC-BC'!H46</f>
        <v>0</v>
      </c>
      <c r="I46" s="50">
        <f>'HC-BC'!I46</f>
        <v>0</v>
      </c>
      <c r="J46" s="50">
        <f>'HC-BC'!J46</f>
        <v>0</v>
      </c>
      <c r="K46" s="50">
        <f>'HC-BC'!K46</f>
        <v>0</v>
      </c>
      <c r="L46" s="50">
        <f>'HC-BC'!L46</f>
        <v>0</v>
      </c>
      <c r="M46" s="50">
        <f>'HC-BC'!M46</f>
        <v>0</v>
      </c>
      <c r="N46" s="50">
        <f>'HC-BC'!N46</f>
        <v>0</v>
      </c>
      <c r="O46" s="50">
        <f>'HC-BC'!P46</f>
        <v>0</v>
      </c>
      <c r="P46" s="56"/>
      <c r="Q46" s="39">
        <f>G46+N46</f>
        <v>0</v>
      </c>
      <c r="R46" s="5">
        <f>SUM(K46:L46)</f>
        <v>0</v>
      </c>
      <c r="T46" s="5">
        <f>SUM(C46:O46)</f>
        <v>0</v>
      </c>
      <c r="X46" s="39"/>
      <c r="Y46" s="39"/>
      <c r="Z46" s="39"/>
      <c r="AA46" s="39"/>
      <c r="AC46" s="39"/>
      <c r="AD46" s="39"/>
    </row>
    <row r="47" spans="1:37" x14ac:dyDescent="0.3">
      <c r="A47" s="39"/>
      <c r="B47" s="3">
        <v>2030</v>
      </c>
      <c r="C47" s="44">
        <f>Y47*(Inputs_Summary!$N73/$Y53)</f>
        <v>0</v>
      </c>
      <c r="D47" s="102">
        <f>Z47*(Inputs_Summary!$N73/$Y53)</f>
        <v>0</v>
      </c>
      <c r="E47" s="102">
        <f>AA47*(Inputs_Summary!$N73/$Y53)</f>
        <v>1684.9984311635935</v>
      </c>
      <c r="F47" s="102">
        <f>AB47*(Inputs_Summary!$N73/$Y53)</f>
        <v>3639.2702193654368</v>
      </c>
      <c r="G47" s="102">
        <f>AC47*(Inputs_Summary!$N73/$Y53)</f>
        <v>0</v>
      </c>
      <c r="H47" s="102">
        <f>AD47*(Inputs_Summary!$N73/$Y53)</f>
        <v>43555.98547577417</v>
      </c>
      <c r="I47" s="102">
        <f>AE47*(Inputs_Summary!$N73/$Y53)</f>
        <v>0</v>
      </c>
      <c r="J47" s="102">
        <f>AF47*(Inputs_Summary!$N73/$Y53)</f>
        <v>12604.849038934435</v>
      </c>
      <c r="K47" s="102">
        <f>AG47*(Inputs_Summary!$N73/$Y53)</f>
        <v>0</v>
      </c>
      <c r="L47" s="102">
        <f>AH47*(Inputs_Summary!$N73/$Y53)</f>
        <v>0</v>
      </c>
      <c r="M47" s="102">
        <v>0</v>
      </c>
      <c r="N47" s="102">
        <f>AJ47*(Inputs_Summary!$N73/$Y53)</f>
        <v>0</v>
      </c>
      <c r="O47" s="102">
        <f>AK47*(Inputs_Summary!$N73/$Y53)</f>
        <v>0</v>
      </c>
      <c r="P47" s="56"/>
      <c r="Q47" s="39">
        <f>G47+N47</f>
        <v>0</v>
      </c>
      <c r="R47" s="5">
        <f>SUM(K47:L47)</f>
        <v>0</v>
      </c>
      <c r="T47" s="5">
        <f t="shared" ref="T47:T49" si="15">SUM(C47:O47)</f>
        <v>61485.10316523764</v>
      </c>
      <c r="Y47" s="39">
        <v>0</v>
      </c>
      <c r="Z47" s="39">
        <v>0</v>
      </c>
      <c r="AA47" s="39">
        <v>1652</v>
      </c>
      <c r="AB47" s="39">
        <v>3568</v>
      </c>
      <c r="AC47" s="3">
        <v>0</v>
      </c>
      <c r="AD47" s="39">
        <v>42703</v>
      </c>
      <c r="AE47" s="3">
        <v>0</v>
      </c>
      <c r="AF47" s="39">
        <v>12358</v>
      </c>
      <c r="AG47" s="3">
        <v>0</v>
      </c>
      <c r="AH47" s="3">
        <v>0</v>
      </c>
      <c r="AI47" s="39">
        <v>2915</v>
      </c>
      <c r="AJ47" s="3">
        <v>0</v>
      </c>
      <c r="AK47" s="39"/>
    </row>
    <row r="48" spans="1:37" x14ac:dyDescent="0.3">
      <c r="A48" s="39"/>
      <c r="B48" s="3">
        <v>2040</v>
      </c>
      <c r="C48" s="102">
        <f>Y48*(Inputs_Summary!$N74/$Y54)</f>
        <v>0</v>
      </c>
      <c r="D48" s="102">
        <f>Z48*(Inputs_Summary!$N74/$Y54)</f>
        <v>0</v>
      </c>
      <c r="E48" s="102">
        <f>AA48*(Inputs_Summary!$N74/$Y54)</f>
        <v>14986.372017800877</v>
      </c>
      <c r="F48" s="102">
        <f>AB48*(Inputs_Summary!$N74/$Y54)</f>
        <v>7628.2571766545234</v>
      </c>
      <c r="G48" s="102">
        <f>AC48*(Inputs_Summary!$N74/$Y54)</f>
        <v>0</v>
      </c>
      <c r="H48" s="102">
        <f>AD48*(Inputs_Summary!$N74/$Y54)</f>
        <v>125447.47258243196</v>
      </c>
      <c r="I48" s="102">
        <f>AE48*(Inputs_Summary!$N74/$Y54)</f>
        <v>0</v>
      </c>
      <c r="J48" s="102">
        <f>AF48*(Inputs_Summary!$N74/$Y54)</f>
        <v>66733.190843321456</v>
      </c>
      <c r="K48" s="102">
        <f>AG48*(Inputs_Summary!$N74/$Y54)</f>
        <v>1596.7520946393749</v>
      </c>
      <c r="L48" s="102">
        <f>AH48*(Inputs_Summary!$N74/$Y54)</f>
        <v>0</v>
      </c>
      <c r="M48" s="102">
        <v>0</v>
      </c>
      <c r="N48" s="102">
        <f>AJ48*(Inputs_Summary!$N74/$Y54)</f>
        <v>0</v>
      </c>
      <c r="O48" s="102">
        <f>AK48*(Inputs_Summary!$N74/$Y54)</f>
        <v>0</v>
      </c>
      <c r="P48" s="56"/>
      <c r="Q48" s="39">
        <f>G48+N48</f>
        <v>0</v>
      </c>
      <c r="R48" s="5">
        <f>SUM(K48:L48)</f>
        <v>1596.7520946393749</v>
      </c>
      <c r="T48" s="5">
        <f t="shared" si="15"/>
        <v>216392.04471484819</v>
      </c>
      <c r="Y48" s="39">
        <v>0</v>
      </c>
      <c r="Z48" s="39">
        <v>0</v>
      </c>
      <c r="AA48" s="39">
        <v>14923</v>
      </c>
      <c r="AB48" s="39">
        <v>7596</v>
      </c>
      <c r="AC48" s="39">
        <v>0</v>
      </c>
      <c r="AD48" s="39">
        <v>124917</v>
      </c>
      <c r="AE48" s="3">
        <v>0</v>
      </c>
      <c r="AF48" s="39">
        <v>66451</v>
      </c>
      <c r="AG48" s="39">
        <v>1590</v>
      </c>
      <c r="AH48" s="3">
        <v>0</v>
      </c>
      <c r="AI48" s="39">
        <v>12280</v>
      </c>
      <c r="AJ48" s="3">
        <v>0</v>
      </c>
      <c r="AK48" s="39"/>
    </row>
    <row r="49" spans="1:37" x14ac:dyDescent="0.3">
      <c r="A49" s="39"/>
      <c r="B49" s="3">
        <v>2050</v>
      </c>
      <c r="C49" s="102">
        <f>Y49*(Inputs_Summary!$N75/$Y55)</f>
        <v>0</v>
      </c>
      <c r="D49" s="102">
        <f>Z49*(Inputs_Summary!$N75/$Y55)</f>
        <v>0</v>
      </c>
      <c r="E49" s="102">
        <f>AA49*(Inputs_Summary!$N75/$Y55)</f>
        <v>32942.772594470676</v>
      </c>
      <c r="F49" s="102">
        <f>AB49*(Inputs_Summary!$N75/$Y55)</f>
        <v>9907.2564475493382</v>
      </c>
      <c r="G49" s="102">
        <f>AC49*(Inputs_Summary!$N75/$Y55)</f>
        <v>0</v>
      </c>
      <c r="H49" s="102">
        <f>AD49*(Inputs_Summary!$N75/$Y55)</f>
        <v>180219.45714131711</v>
      </c>
      <c r="I49" s="102">
        <f>AE49*(Inputs_Summary!$N75/$Y55)</f>
        <v>0</v>
      </c>
      <c r="J49" s="102">
        <f>AF49*(Inputs_Summary!$N75/$Y55)</f>
        <v>84134.843865618779</v>
      </c>
      <c r="K49" s="102">
        <f>AG49*(Inputs_Summary!$N75/$Y55)</f>
        <v>1464.4624579376987</v>
      </c>
      <c r="L49" s="102">
        <f>AH49*(Inputs_Summary!$N75/$Y55)</f>
        <v>0</v>
      </c>
      <c r="M49" s="102">
        <v>0</v>
      </c>
      <c r="N49" s="102">
        <f>AJ49*(Inputs_Summary!$N75/$Y55)</f>
        <v>0</v>
      </c>
      <c r="O49" s="102">
        <f>AK49*(Inputs_Summary!$N75/$Y55)</f>
        <v>0</v>
      </c>
      <c r="P49" s="56"/>
      <c r="Q49" s="39">
        <f>G49+N49</f>
        <v>0</v>
      </c>
      <c r="R49" s="5">
        <f>SUM(K49:L49)</f>
        <v>1464.4624579376987</v>
      </c>
      <c r="T49" s="5">
        <f t="shared" si="15"/>
        <v>308668.79250689357</v>
      </c>
      <c r="Y49" s="3">
        <v>0</v>
      </c>
      <c r="Z49" s="39">
        <v>0</v>
      </c>
      <c r="AA49" s="39">
        <v>32370</v>
      </c>
      <c r="AB49" s="39">
        <v>9735</v>
      </c>
      <c r="AC49" s="39">
        <v>0</v>
      </c>
      <c r="AD49" s="39">
        <v>177086</v>
      </c>
      <c r="AE49" s="3">
        <v>0</v>
      </c>
      <c r="AF49" s="39">
        <v>82672</v>
      </c>
      <c r="AG49" s="39">
        <v>1439</v>
      </c>
      <c r="AH49" s="3">
        <v>0</v>
      </c>
      <c r="AI49" s="39">
        <v>11543</v>
      </c>
      <c r="AJ49" s="39">
        <v>0</v>
      </c>
      <c r="AK49" s="39"/>
    </row>
    <row r="50" spans="1:37" x14ac:dyDescent="0.3">
      <c r="A50" s="39"/>
    </row>
    <row r="51" spans="1:37" ht="28.8" x14ac:dyDescent="0.3">
      <c r="A51" s="39"/>
      <c r="B51" s="43" t="s">
        <v>13</v>
      </c>
      <c r="C51" s="43" t="s">
        <v>0</v>
      </c>
      <c r="D51" s="43" t="s">
        <v>1</v>
      </c>
      <c r="E51" s="43" t="s">
        <v>28</v>
      </c>
      <c r="F51" s="2" t="s">
        <v>29</v>
      </c>
      <c r="G51" s="2" t="s">
        <v>6</v>
      </c>
      <c r="H51" s="43" t="s">
        <v>2</v>
      </c>
      <c r="I51" s="43" t="s">
        <v>3</v>
      </c>
      <c r="J51" s="43" t="s">
        <v>4</v>
      </c>
      <c r="K51" s="43" t="s">
        <v>9</v>
      </c>
      <c r="L51" s="43" t="s">
        <v>8</v>
      </c>
      <c r="M51" s="43" t="s">
        <v>25</v>
      </c>
      <c r="N51" s="43" t="s">
        <v>7</v>
      </c>
      <c r="O51" s="43" t="s">
        <v>89</v>
      </c>
      <c r="P51" s="25"/>
      <c r="Q51" s="43" t="s">
        <v>5</v>
      </c>
      <c r="R51" s="43" t="s">
        <v>91</v>
      </c>
      <c r="T51" s="43" t="s">
        <v>10</v>
      </c>
      <c r="U51" s="43"/>
      <c r="V51" s="43"/>
      <c r="W51" s="43" t="s">
        <v>16</v>
      </c>
      <c r="X51" s="43" t="s">
        <v>15</v>
      </c>
    </row>
    <row r="52" spans="1:37" x14ac:dyDescent="0.3">
      <c r="A52" s="39">
        <f>C52-C46</f>
        <v>199945.5213375215</v>
      </c>
      <c r="B52" s="3">
        <v>2016</v>
      </c>
      <c r="C52" s="50">
        <f>C34+C40+C46</f>
        <v>199945.5213375215</v>
      </c>
      <c r="D52" s="50">
        <f t="shared" ref="D52:O55" si="16">D34+D40+D46</f>
        <v>14743.87884401034</v>
      </c>
      <c r="E52" s="50">
        <f t="shared" si="16"/>
        <v>756.07675598824017</v>
      </c>
      <c r="F52" s="50">
        <f t="shared" si="16"/>
        <v>2024.3136712665919</v>
      </c>
      <c r="G52" s="50">
        <f t="shared" si="16"/>
        <v>15799.124268819065</v>
      </c>
      <c r="H52" s="50">
        <f t="shared" si="16"/>
        <v>4496.505188735453</v>
      </c>
      <c r="I52" s="50">
        <f t="shared" si="16"/>
        <v>911.39300995821191</v>
      </c>
      <c r="J52" s="50">
        <f t="shared" si="16"/>
        <v>2639.0862346009021</v>
      </c>
      <c r="K52" s="50">
        <f t="shared" si="16"/>
        <v>0</v>
      </c>
      <c r="L52" s="50">
        <f t="shared" si="16"/>
        <v>1622.2358992136444</v>
      </c>
      <c r="M52" s="50">
        <f t="shared" si="16"/>
        <v>0</v>
      </c>
      <c r="N52" s="50">
        <f t="shared" si="16"/>
        <v>2994.3929759978951</v>
      </c>
      <c r="O52" s="50">
        <f t="shared" si="16"/>
        <v>0</v>
      </c>
      <c r="P52" s="56"/>
      <c r="Q52" s="39">
        <f>G52+N52</f>
        <v>18793.517244816961</v>
      </c>
      <c r="R52" s="5">
        <f>SUM(K52:L52)</f>
        <v>1622.2358992136444</v>
      </c>
      <c r="T52" s="5">
        <f>SUM(C52:O52)</f>
        <v>245932.52818611186</v>
      </c>
      <c r="W52" s="18">
        <f>SUM(G52:L52)</f>
        <v>25468.344601327273</v>
      </c>
      <c r="X52" s="23">
        <f>W52/T52</f>
        <v>0.10355825961360367</v>
      </c>
      <c r="Y52" s="39">
        <v>240333.53100000005</v>
      </c>
      <c r="Z52" s="39"/>
    </row>
    <row r="53" spans="1:37" x14ac:dyDescent="0.3">
      <c r="A53" s="39">
        <f t="shared" ref="A53:A55" si="17">C53-C47</f>
        <v>191696.11086546493</v>
      </c>
      <c r="B53" s="3">
        <v>2030</v>
      </c>
      <c r="C53" s="50">
        <f t="shared" ref="C53:N55" si="18">C35+C41+C47</f>
        <v>191696.11086546493</v>
      </c>
      <c r="D53" s="50">
        <f t="shared" si="18"/>
        <v>14581.560273556133</v>
      </c>
      <c r="E53" s="50">
        <f t="shared" si="18"/>
        <v>3911.6035009154848</v>
      </c>
      <c r="F53" s="50">
        <f t="shared" si="18"/>
        <v>3864.6846584012442</v>
      </c>
      <c r="G53" s="50">
        <f t="shared" si="18"/>
        <v>12696.646774288385</v>
      </c>
      <c r="H53" s="50">
        <f t="shared" si="18"/>
        <v>56720.80070036769</v>
      </c>
      <c r="I53" s="50">
        <f t="shared" si="18"/>
        <v>5052.9553438162475</v>
      </c>
      <c r="J53" s="50">
        <f t="shared" si="18"/>
        <v>17591.506018328386</v>
      </c>
      <c r="K53" s="50">
        <f t="shared" si="18"/>
        <v>353.93126853133589</v>
      </c>
      <c r="L53" s="50">
        <f t="shared" si="18"/>
        <v>2585.6362124695579</v>
      </c>
      <c r="M53" s="50">
        <f t="shared" si="18"/>
        <v>0</v>
      </c>
      <c r="N53" s="50">
        <f t="shared" si="18"/>
        <v>5626.181202359795</v>
      </c>
      <c r="O53" s="50">
        <f t="shared" si="16"/>
        <v>0</v>
      </c>
      <c r="P53" s="56"/>
      <c r="Q53" s="39">
        <f>G53+N53</f>
        <v>18322.827976648179</v>
      </c>
      <c r="R53" s="5">
        <f>SUM(K53:L53)</f>
        <v>2939.5674810008936</v>
      </c>
      <c r="T53" s="5">
        <f t="shared" ref="T53:T55" si="19">SUM(C53:O53)</f>
        <v>314681.61681849917</v>
      </c>
      <c r="W53" s="18">
        <f>SUM(G53:L53)</f>
        <v>95001.476317801615</v>
      </c>
      <c r="X53" s="23">
        <f t="shared" ref="X53:X55" si="20">W53/T53</f>
        <v>0.3018971278916372</v>
      </c>
      <c r="Y53" s="39">
        <v>301333.13689999998</v>
      </c>
      <c r="AA53" s="39"/>
    </row>
    <row r="54" spans="1:37" x14ac:dyDescent="0.3">
      <c r="A54" s="39">
        <f t="shared" si="17"/>
        <v>97708.172986124526</v>
      </c>
      <c r="B54" s="3">
        <v>2040</v>
      </c>
      <c r="C54" s="50">
        <f t="shared" si="18"/>
        <v>97708.172986124526</v>
      </c>
      <c r="D54" s="50">
        <f t="shared" si="18"/>
        <v>13947.981032985082</v>
      </c>
      <c r="E54" s="50">
        <f t="shared" si="18"/>
        <v>17226.846183298014</v>
      </c>
      <c r="F54" s="50">
        <f t="shared" si="18"/>
        <v>7705.5841648854866</v>
      </c>
      <c r="G54" s="50">
        <f t="shared" si="18"/>
        <v>11849.105638144645</v>
      </c>
      <c r="H54" s="50">
        <f t="shared" si="18"/>
        <v>125447.47258243196</v>
      </c>
      <c r="I54" s="50">
        <f t="shared" si="18"/>
        <v>5063.4113592275025</v>
      </c>
      <c r="J54" s="50">
        <f t="shared" si="18"/>
        <v>69886.525168584121</v>
      </c>
      <c r="K54" s="50">
        <f t="shared" si="18"/>
        <v>1952.2553911817263</v>
      </c>
      <c r="L54" s="50">
        <f t="shared" si="18"/>
        <v>2610.036914445117</v>
      </c>
      <c r="M54" s="50">
        <f t="shared" si="18"/>
        <v>0</v>
      </c>
      <c r="N54" s="50">
        <f t="shared" si="18"/>
        <v>6040.5433014187674</v>
      </c>
      <c r="O54" s="50">
        <f t="shared" si="16"/>
        <v>0</v>
      </c>
      <c r="P54" s="56"/>
      <c r="Q54" s="39">
        <f>G54+N54</f>
        <v>17889.648939563413</v>
      </c>
      <c r="R54" s="5">
        <f>SUM(K54:L54)</f>
        <v>4562.2923056268428</v>
      </c>
      <c r="T54" s="5">
        <f t="shared" si="19"/>
        <v>359437.93472272699</v>
      </c>
      <c r="W54" s="18">
        <f>SUM(G54:L54)</f>
        <v>216808.80705401505</v>
      </c>
      <c r="X54" s="23">
        <f t="shared" si="20"/>
        <v>0.60318843981023573</v>
      </c>
      <c r="Y54" s="39">
        <v>350077.26510000002</v>
      </c>
      <c r="AB54" s="39"/>
      <c r="AD54" s="39"/>
    </row>
    <row r="55" spans="1:37" x14ac:dyDescent="0.3">
      <c r="A55" s="39">
        <f t="shared" si="17"/>
        <v>60165.084121486318</v>
      </c>
      <c r="B55" s="3">
        <v>2050</v>
      </c>
      <c r="C55" s="50">
        <f t="shared" si="18"/>
        <v>60165.084121486318</v>
      </c>
      <c r="D55" s="50">
        <f t="shared" si="18"/>
        <v>0</v>
      </c>
      <c r="E55" s="50">
        <f t="shared" si="18"/>
        <v>35201.03680167273</v>
      </c>
      <c r="F55" s="50">
        <f t="shared" si="18"/>
        <v>9907.2564475493382</v>
      </c>
      <c r="G55" s="50">
        <f t="shared" si="18"/>
        <v>11358.488876332631</v>
      </c>
      <c r="H55" s="50">
        <f t="shared" si="18"/>
        <v>180219.45714131711</v>
      </c>
      <c r="I55" s="50">
        <f t="shared" si="18"/>
        <v>0</v>
      </c>
      <c r="J55" s="50">
        <f t="shared" si="18"/>
        <v>84134.843865618779</v>
      </c>
      <c r="K55" s="50">
        <f t="shared" si="18"/>
        <v>1464.4624579376987</v>
      </c>
      <c r="L55" s="50">
        <f t="shared" si="18"/>
        <v>1639.5059205959919</v>
      </c>
      <c r="M55" s="50">
        <f t="shared" si="18"/>
        <v>0</v>
      </c>
      <c r="N55" s="50">
        <f t="shared" si="18"/>
        <v>6052.2294908655276</v>
      </c>
      <c r="O55" s="50">
        <f t="shared" si="16"/>
        <v>0</v>
      </c>
      <c r="P55" s="56"/>
      <c r="Q55" s="39">
        <f>G55+N55</f>
        <v>17410.718367198158</v>
      </c>
      <c r="R55" s="5">
        <f>SUM(K55:L55)</f>
        <v>3103.9683785336906</v>
      </c>
      <c r="T55" s="5">
        <f t="shared" si="19"/>
        <v>390142.36512337619</v>
      </c>
      <c r="W55" s="18">
        <f>SUM(G55:L55)</f>
        <v>278816.75826180226</v>
      </c>
      <c r="X55" s="23">
        <f t="shared" si="20"/>
        <v>0.71465388839182076</v>
      </c>
      <c r="Y55" s="39">
        <v>375606.35639999999</v>
      </c>
    </row>
    <row r="57" spans="1:37" x14ac:dyDescent="0.3">
      <c r="B57" s="3">
        <v>2016</v>
      </c>
      <c r="C57" s="23">
        <f t="shared" ref="C57:O60" si="21">IFERROR(C52/$T52,0)</f>
        <v>0.81300966087011783</v>
      </c>
      <c r="D57" s="23">
        <f t="shared" si="21"/>
        <v>5.9950909921329176E-2</v>
      </c>
      <c r="E57" s="23">
        <f t="shared" si="21"/>
        <v>3.074325960720705E-3</v>
      </c>
      <c r="F57" s="23">
        <f t="shared" si="21"/>
        <v>8.2311749738719908E-3</v>
      </c>
      <c r="G57" s="23">
        <f t="shared" si="21"/>
        <v>6.4241702329278394E-2</v>
      </c>
      <c r="H57" s="23">
        <f t="shared" si="21"/>
        <v>1.8283491093673783E-2</v>
      </c>
      <c r="I57" s="23">
        <f t="shared" si="21"/>
        <v>3.7058660628597542E-3</v>
      </c>
      <c r="J57" s="23">
        <f t="shared" si="21"/>
        <v>1.0730936058217349E-2</v>
      </c>
      <c r="K57" s="23">
        <f t="shared" si="21"/>
        <v>0</v>
      </c>
      <c r="L57" s="23">
        <f t="shared" si="21"/>
        <v>6.5962640695744054E-3</v>
      </c>
      <c r="M57" s="23">
        <f t="shared" si="21"/>
        <v>0</v>
      </c>
      <c r="N57" s="23">
        <f t="shared" si="21"/>
        <v>1.2175668660356546E-2</v>
      </c>
      <c r="O57" s="23">
        <f t="shared" si="21"/>
        <v>0</v>
      </c>
      <c r="P57" s="26"/>
      <c r="Q57" s="7">
        <f t="shared" ref="Q57:R60" si="22">Q52/$T52</f>
        <v>7.6417370989634942E-2</v>
      </c>
      <c r="R57" s="7">
        <f t="shared" si="22"/>
        <v>6.5962640695744054E-3</v>
      </c>
      <c r="T57" s="8">
        <f>SUM(C57:O57)</f>
        <v>0.99999999999999978</v>
      </c>
    </row>
    <row r="58" spans="1:37" x14ac:dyDescent="0.3">
      <c r="B58" s="3">
        <v>2030</v>
      </c>
      <c r="C58" s="23">
        <f t="shared" si="21"/>
        <v>0.60917479960715548</v>
      </c>
      <c r="D58" s="23">
        <f t="shared" si="21"/>
        <v>4.6337502714581605E-2</v>
      </c>
      <c r="E58" s="23">
        <f t="shared" si="21"/>
        <v>1.2430352749749612E-2</v>
      </c>
      <c r="F58" s="23">
        <f t="shared" si="21"/>
        <v>1.2281253342581819E-2</v>
      </c>
      <c r="G58" s="23">
        <f t="shared" si="21"/>
        <v>4.034759609618857E-2</v>
      </c>
      <c r="H58" s="23">
        <f t="shared" si="21"/>
        <v>0.18024821810001979</v>
      </c>
      <c r="I58" s="23">
        <f t="shared" si="21"/>
        <v>1.6057357893679156E-2</v>
      </c>
      <c r="J58" s="23">
        <f t="shared" si="21"/>
        <v>5.5902553813541471E-2</v>
      </c>
      <c r="K58" s="23">
        <f t="shared" si="21"/>
        <v>1.1247281366787783E-3</v>
      </c>
      <c r="L58" s="23">
        <f t="shared" si="21"/>
        <v>8.216673851529405E-3</v>
      </c>
      <c r="M58" s="23">
        <f t="shared" si="21"/>
        <v>0</v>
      </c>
      <c r="N58" s="23">
        <f t="shared" si="21"/>
        <v>1.7878963694294356E-2</v>
      </c>
      <c r="O58" s="23">
        <f t="shared" si="21"/>
        <v>0</v>
      </c>
      <c r="P58" s="26"/>
      <c r="Q58" s="7">
        <f t="shared" si="22"/>
        <v>5.8226559790482926E-2</v>
      </c>
      <c r="R58" s="7">
        <f t="shared" si="22"/>
        <v>9.3414019882081829E-3</v>
      </c>
      <c r="T58" s="8">
        <f t="shared" ref="T58:T60" si="23">SUM(C58:O58)</f>
        <v>0.99999999999999978</v>
      </c>
    </row>
    <row r="59" spans="1:37" x14ac:dyDescent="0.3">
      <c r="B59" s="3">
        <v>2040</v>
      </c>
      <c r="C59" s="23">
        <f t="shared" si="21"/>
        <v>0.27183600713012473</v>
      </c>
      <c r="D59" s="23">
        <f t="shared" si="21"/>
        <v>3.8804977676451025E-2</v>
      </c>
      <c r="E59" s="23">
        <f t="shared" si="21"/>
        <v>4.792717885102174E-2</v>
      </c>
      <c r="F59" s="23">
        <f t="shared" si="21"/>
        <v>2.143787124425147E-2</v>
      </c>
      <c r="G59" s="23">
        <f t="shared" si="21"/>
        <v>3.296565135030928E-2</v>
      </c>
      <c r="H59" s="23">
        <f t="shared" si="21"/>
        <v>0.3490101084605971</v>
      </c>
      <c r="I59" s="23">
        <f t="shared" si="21"/>
        <v>1.4087025519811799E-2</v>
      </c>
      <c r="J59" s="23">
        <f t="shared" si="21"/>
        <v>0.19443280304427268</v>
      </c>
      <c r="K59" s="23">
        <f t="shared" si="21"/>
        <v>5.4314116641241833E-3</v>
      </c>
      <c r="L59" s="23">
        <f t="shared" si="21"/>
        <v>7.261439771120759E-3</v>
      </c>
      <c r="M59" s="23">
        <f t="shared" si="21"/>
        <v>0</v>
      </c>
      <c r="N59" s="23">
        <f t="shared" si="21"/>
        <v>1.6805525287915107E-2</v>
      </c>
      <c r="O59" s="23">
        <f t="shared" si="21"/>
        <v>0</v>
      </c>
      <c r="P59" s="26"/>
      <c r="Q59" s="7">
        <f t="shared" si="22"/>
        <v>4.977117663822439E-2</v>
      </c>
      <c r="R59" s="7">
        <f t="shared" si="22"/>
        <v>1.2692851435244941E-2</v>
      </c>
      <c r="T59" s="8">
        <f t="shared" si="23"/>
        <v>0.99999999999999978</v>
      </c>
    </row>
    <row r="60" spans="1:37" x14ac:dyDescent="0.3">
      <c r="B60" s="3">
        <v>2050</v>
      </c>
      <c r="C60" s="23">
        <f t="shared" si="21"/>
        <v>0.15421315268455935</v>
      </c>
      <c r="D60" s="23">
        <f t="shared" si="21"/>
        <v>0</v>
      </c>
      <c r="E60" s="23">
        <f t="shared" si="21"/>
        <v>9.0226132685028895E-2</v>
      </c>
      <c r="F60" s="23">
        <f t="shared" si="21"/>
        <v>2.539395188322173E-2</v>
      </c>
      <c r="G60" s="23">
        <f t="shared" si="21"/>
        <v>2.9113702821637156E-2</v>
      </c>
      <c r="H60" s="23">
        <f t="shared" si="21"/>
        <v>0.46193254886411944</v>
      </c>
      <c r="I60" s="23">
        <f t="shared" si="21"/>
        <v>0</v>
      </c>
      <c r="J60" s="23">
        <f t="shared" si="21"/>
        <v>0.21565164767228626</v>
      </c>
      <c r="K60" s="23">
        <f t="shared" si="21"/>
        <v>3.7536617113462828E-3</v>
      </c>
      <c r="L60" s="23">
        <f t="shared" si="21"/>
        <v>4.2023273224314536E-3</v>
      </c>
      <c r="M60" s="23">
        <f t="shared" si="21"/>
        <v>0</v>
      </c>
      <c r="N60" s="23">
        <f t="shared" si="21"/>
        <v>1.5512874355369246E-2</v>
      </c>
      <c r="O60" s="23">
        <f t="shared" si="21"/>
        <v>0</v>
      </c>
      <c r="P60" s="26"/>
      <c r="Q60" s="7">
        <f t="shared" si="22"/>
        <v>4.4626577177006403E-2</v>
      </c>
      <c r="R60" s="7">
        <f t="shared" si="22"/>
        <v>7.9559890337777359E-3</v>
      </c>
      <c r="T60" s="8">
        <f t="shared" si="23"/>
        <v>0.99999999999999989</v>
      </c>
    </row>
    <row r="62" spans="1:37" s="9" customFormat="1" ht="21" x14ac:dyDescent="0.4">
      <c r="B62" s="10" t="s">
        <v>12</v>
      </c>
    </row>
    <row r="63" spans="1:37" s="32" customFormat="1" ht="21" x14ac:dyDescent="0.4">
      <c r="B63" s="31"/>
      <c r="P63" s="58"/>
    </row>
    <row r="64" spans="1:37" ht="28.8" x14ac:dyDescent="0.3">
      <c r="B64" s="43" t="s">
        <v>37</v>
      </c>
      <c r="C64" s="43" t="s">
        <v>0</v>
      </c>
      <c r="D64" s="43" t="s">
        <v>1</v>
      </c>
      <c r="E64" s="43" t="s">
        <v>28</v>
      </c>
      <c r="F64" s="2" t="s">
        <v>29</v>
      </c>
      <c r="G64" s="2" t="s">
        <v>6</v>
      </c>
      <c r="H64" s="43" t="s">
        <v>2</v>
      </c>
      <c r="I64" s="43" t="s">
        <v>3</v>
      </c>
      <c r="J64" s="43" t="s">
        <v>4</v>
      </c>
      <c r="K64" s="43" t="s">
        <v>9</v>
      </c>
      <c r="L64" s="43" t="s">
        <v>8</v>
      </c>
      <c r="M64" s="43" t="s">
        <v>25</v>
      </c>
      <c r="N64" s="43" t="s">
        <v>7</v>
      </c>
      <c r="O64" s="43" t="s">
        <v>89</v>
      </c>
      <c r="P64" s="25"/>
      <c r="Q64" s="43" t="s">
        <v>5</v>
      </c>
      <c r="R64" s="43" t="s">
        <v>91</v>
      </c>
      <c r="T64" s="43"/>
    </row>
    <row r="65" spans="2:20" x14ac:dyDescent="0.3">
      <c r="B65" s="3">
        <v>2016</v>
      </c>
      <c r="C65" s="23">
        <f t="shared" ref="C65:O65" si="24">IFERROR(C34/(8.76*C4),0)</f>
        <v>0.61670682155154666</v>
      </c>
      <c r="D65" s="23">
        <f t="shared" si="24"/>
        <v>0.90488773776270071</v>
      </c>
      <c r="E65" s="23">
        <f t="shared" si="24"/>
        <v>0.20327398012747969</v>
      </c>
      <c r="F65" s="23">
        <f t="shared" si="24"/>
        <v>6.7588779038524713E-2</v>
      </c>
      <c r="G65" s="23">
        <f t="shared" si="24"/>
        <v>0.82769756710584552</v>
      </c>
      <c r="H65" s="23">
        <f t="shared" si="24"/>
        <v>0.35157512265710944</v>
      </c>
      <c r="I65" s="23">
        <f t="shared" si="24"/>
        <v>0.47241434111308539</v>
      </c>
      <c r="J65" s="23">
        <f t="shared" si="24"/>
        <v>0.20369543738680201</v>
      </c>
      <c r="K65" s="23">
        <f t="shared" si="24"/>
        <v>0</v>
      </c>
      <c r="L65" s="23">
        <f t="shared" si="24"/>
        <v>0.68481680259532229</v>
      </c>
      <c r="M65" s="23">
        <f t="shared" si="24"/>
        <v>0</v>
      </c>
      <c r="N65" s="23">
        <f t="shared" si="24"/>
        <v>0.21634536847565858</v>
      </c>
      <c r="O65" s="23">
        <f t="shared" si="24"/>
        <v>0</v>
      </c>
      <c r="P65" s="26"/>
      <c r="Q65" s="6">
        <f t="shared" ref="Q65:R68" si="25">IFERROR(Q34/(8.76*Q4),0)</f>
        <v>0.57073122663346065</v>
      </c>
      <c r="R65" s="6">
        <f t="shared" si="25"/>
        <v>0.68481680259532229</v>
      </c>
      <c r="S65" s="5"/>
      <c r="T65" s="5"/>
    </row>
    <row r="66" spans="2:20" x14ac:dyDescent="0.3">
      <c r="B66" s="3">
        <v>2030</v>
      </c>
      <c r="C66" s="23">
        <f t="shared" ref="C66:O66" si="26">IFERROR(C35/(8.76*C5),0)</f>
        <v>0.61982724586619786</v>
      </c>
      <c r="D66" s="23">
        <f t="shared" si="26"/>
        <v>0.89492563175456208</v>
      </c>
      <c r="E66" s="23">
        <f t="shared" si="26"/>
        <v>0.59863085475878752</v>
      </c>
      <c r="F66" s="23">
        <f t="shared" si="26"/>
        <v>8.3627695479573591E-3</v>
      </c>
      <c r="G66" s="23">
        <f t="shared" si="26"/>
        <v>0.65468909883802784</v>
      </c>
      <c r="H66" s="23">
        <f t="shared" si="26"/>
        <v>0.36597830062316278</v>
      </c>
      <c r="I66" s="23">
        <f t="shared" si="26"/>
        <v>0.47971419286944328</v>
      </c>
      <c r="J66" s="23">
        <f t="shared" si="26"/>
        <v>0.20248280195556695</v>
      </c>
      <c r="K66" s="23">
        <f t="shared" si="26"/>
        <v>0</v>
      </c>
      <c r="L66" s="23">
        <f t="shared" si="26"/>
        <v>0.67523759679604078</v>
      </c>
      <c r="M66" s="23">
        <f t="shared" si="26"/>
        <v>0</v>
      </c>
      <c r="N66" s="23">
        <f t="shared" si="26"/>
        <v>0.190202521168126</v>
      </c>
      <c r="O66" s="23">
        <f t="shared" si="26"/>
        <v>0</v>
      </c>
      <c r="P66" s="26"/>
      <c r="Q66" s="6">
        <f t="shared" si="25"/>
        <v>0.45945398505286028</v>
      </c>
      <c r="R66" s="6">
        <f t="shared" si="25"/>
        <v>0.67523759679604078</v>
      </c>
      <c r="S66" s="5"/>
      <c r="T66" s="5"/>
    </row>
    <row r="67" spans="2:20" x14ac:dyDescent="0.3">
      <c r="B67" s="3">
        <v>2040</v>
      </c>
      <c r="C67" s="23">
        <f t="shared" ref="C67:O67" si="27">IFERROR(C36/(8.76*C6),0)</f>
        <v>0.5201304641077914</v>
      </c>
      <c r="D67" s="23">
        <f t="shared" si="27"/>
        <v>0.85604047190216292</v>
      </c>
      <c r="E67" s="23">
        <f t="shared" si="27"/>
        <v>0.60235961148960393</v>
      </c>
      <c r="F67" s="23">
        <f t="shared" si="27"/>
        <v>8.7833649368413026E-3</v>
      </c>
      <c r="G67" s="23">
        <f t="shared" si="27"/>
        <v>0.61023846964194439</v>
      </c>
      <c r="H67" s="23">
        <f t="shared" si="27"/>
        <v>0</v>
      </c>
      <c r="I67" s="23">
        <f t="shared" si="27"/>
        <v>0.48148809608320947</v>
      </c>
      <c r="J67" s="23">
        <f t="shared" si="27"/>
        <v>0.2037166383537608</v>
      </c>
      <c r="K67" s="23">
        <f t="shared" si="27"/>
        <v>0</v>
      </c>
      <c r="L67" s="23">
        <f t="shared" si="27"/>
        <v>0.68349771215275235</v>
      </c>
      <c r="M67" s="23">
        <f t="shared" si="27"/>
        <v>0</v>
      </c>
      <c r="N67" s="23">
        <f t="shared" si="27"/>
        <v>0.21048778883926925</v>
      </c>
      <c r="O67" s="23">
        <f t="shared" si="27"/>
        <v>0</v>
      </c>
      <c r="P67" s="26"/>
      <c r="Q67" s="6">
        <f t="shared" si="25"/>
        <v>0.44221344286135744</v>
      </c>
      <c r="R67" s="6">
        <f t="shared" si="25"/>
        <v>0.68349771215275235</v>
      </c>
      <c r="S67" s="5"/>
      <c r="T67" s="5"/>
    </row>
    <row r="68" spans="2:20" x14ac:dyDescent="0.3">
      <c r="B68" s="3">
        <v>2050</v>
      </c>
      <c r="C68" s="23">
        <f t="shared" ref="C68:O68" si="28">IFERROR(C37/(8.76*C7),0)</f>
        <v>0</v>
      </c>
      <c r="D68" s="23">
        <f t="shared" si="28"/>
        <v>0</v>
      </c>
      <c r="E68" s="23">
        <f t="shared" si="28"/>
        <v>0.60714252877326713</v>
      </c>
      <c r="F68" s="23">
        <f t="shared" si="28"/>
        <v>0</v>
      </c>
      <c r="G68" s="23">
        <f t="shared" si="28"/>
        <v>0.58455467664128236</v>
      </c>
      <c r="H68" s="23">
        <f t="shared" si="28"/>
        <v>0</v>
      </c>
      <c r="I68" s="23">
        <f t="shared" si="28"/>
        <v>0</v>
      </c>
      <c r="J68" s="23">
        <f t="shared" si="28"/>
        <v>0</v>
      </c>
      <c r="K68" s="23">
        <f t="shared" si="28"/>
        <v>0</v>
      </c>
      <c r="L68" s="23">
        <f t="shared" si="28"/>
        <v>0.70893261406703678</v>
      </c>
      <c r="M68" s="23">
        <f t="shared" si="28"/>
        <v>0</v>
      </c>
      <c r="N68" s="23">
        <f t="shared" si="28"/>
        <v>0.20852708981859164</v>
      </c>
      <c r="O68" s="23">
        <f t="shared" si="28"/>
        <v>0</v>
      </c>
      <c r="P68" s="26"/>
      <c r="Q68" s="6">
        <f t="shared" si="25"/>
        <v>0.42650104876688727</v>
      </c>
      <c r="R68" s="6">
        <f t="shared" si="25"/>
        <v>0.70893261406703678</v>
      </c>
      <c r="S68" s="5"/>
      <c r="T68" s="5"/>
    </row>
    <row r="69" spans="2:20" x14ac:dyDescent="0.3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28"/>
      <c r="Q69" s="5"/>
      <c r="R69" s="5"/>
      <c r="S69" s="5"/>
      <c r="T69" s="5"/>
    </row>
    <row r="70" spans="2:20" ht="28.8" x14ac:dyDescent="0.3">
      <c r="B70" s="43" t="s">
        <v>38</v>
      </c>
      <c r="C70" s="43" t="s">
        <v>0</v>
      </c>
      <c r="D70" s="43" t="s">
        <v>1</v>
      </c>
      <c r="E70" s="43" t="s">
        <v>28</v>
      </c>
      <c r="F70" s="2" t="s">
        <v>29</v>
      </c>
      <c r="G70" s="2" t="s">
        <v>6</v>
      </c>
      <c r="H70" s="43" t="s">
        <v>2</v>
      </c>
      <c r="I70" s="43" t="s">
        <v>3</v>
      </c>
      <c r="J70" s="43" t="s">
        <v>4</v>
      </c>
      <c r="K70" s="43" t="s">
        <v>9</v>
      </c>
      <c r="L70" s="43" t="s">
        <v>8</v>
      </c>
      <c r="M70" s="43" t="s">
        <v>25</v>
      </c>
      <c r="N70" s="43" t="s">
        <v>7</v>
      </c>
      <c r="O70" s="43" t="s">
        <v>89</v>
      </c>
      <c r="P70" s="25"/>
      <c r="Q70" s="43" t="s">
        <v>5</v>
      </c>
      <c r="R70" s="43" t="s">
        <v>91</v>
      </c>
      <c r="T70" s="43"/>
    </row>
    <row r="71" spans="2:20" x14ac:dyDescent="0.3">
      <c r="B71" s="3">
        <v>2016</v>
      </c>
      <c r="C71" s="23">
        <f t="shared" ref="C71:O71" si="29">IFERROR(C40/(8.76*C10),0)</f>
        <v>0.81216512155767595</v>
      </c>
      <c r="D71" s="23">
        <f t="shared" si="29"/>
        <v>0</v>
      </c>
      <c r="E71" s="23">
        <f t="shared" si="29"/>
        <v>0</v>
      </c>
      <c r="F71" s="23">
        <f t="shared" si="29"/>
        <v>0</v>
      </c>
      <c r="G71" s="23">
        <f t="shared" si="29"/>
        <v>0</v>
      </c>
      <c r="H71" s="23">
        <f t="shared" si="29"/>
        <v>0.35157512265717339</v>
      </c>
      <c r="I71" s="23">
        <f t="shared" si="29"/>
        <v>0</v>
      </c>
      <c r="J71" s="23">
        <f t="shared" si="29"/>
        <v>0</v>
      </c>
      <c r="K71" s="23">
        <f t="shared" si="29"/>
        <v>0</v>
      </c>
      <c r="L71" s="23">
        <f t="shared" si="29"/>
        <v>0</v>
      </c>
      <c r="M71" s="23">
        <f t="shared" si="29"/>
        <v>0</v>
      </c>
      <c r="N71" s="23">
        <f t="shared" si="29"/>
        <v>0</v>
      </c>
      <c r="O71" s="23">
        <f t="shared" si="29"/>
        <v>0</v>
      </c>
      <c r="P71" s="26"/>
      <c r="Q71" s="7">
        <f t="shared" ref="Q71:R74" si="30">IFERROR(Q40/(8.76*Q10),0)</f>
        <v>0</v>
      </c>
      <c r="R71" s="7">
        <f t="shared" si="30"/>
        <v>0</v>
      </c>
      <c r="S71" s="5"/>
      <c r="T71" s="5"/>
    </row>
    <row r="72" spans="2:20" x14ac:dyDescent="0.3">
      <c r="B72" s="3">
        <v>2030</v>
      </c>
      <c r="C72" s="23">
        <f t="shared" ref="C72:O72" si="31">IFERROR(C41/(8.76*C11),0)</f>
        <v>0.79462089388781432</v>
      </c>
      <c r="D72" s="23">
        <f t="shared" si="31"/>
        <v>0</v>
      </c>
      <c r="E72" s="23">
        <f t="shared" si="31"/>
        <v>0</v>
      </c>
      <c r="F72" s="23">
        <f t="shared" si="31"/>
        <v>0</v>
      </c>
      <c r="G72" s="23">
        <f t="shared" si="31"/>
        <v>0.50714121792023126</v>
      </c>
      <c r="H72" s="23">
        <f t="shared" si="31"/>
        <v>0.3660232598506275</v>
      </c>
      <c r="I72" s="23">
        <f t="shared" si="31"/>
        <v>0.56573946789000584</v>
      </c>
      <c r="J72" s="23">
        <f t="shared" si="31"/>
        <v>0.20253830011051704</v>
      </c>
      <c r="K72" s="23">
        <f t="shared" si="31"/>
        <v>0.76232288388760217</v>
      </c>
      <c r="L72" s="23">
        <f t="shared" si="31"/>
        <v>0.76406029830719102</v>
      </c>
      <c r="M72" s="23">
        <f t="shared" si="31"/>
        <v>0</v>
      </c>
      <c r="N72" s="23">
        <f t="shared" si="31"/>
        <v>0.25656016867689579</v>
      </c>
      <c r="O72" s="23">
        <f t="shared" si="31"/>
        <v>0</v>
      </c>
      <c r="P72" s="26"/>
      <c r="Q72" s="7">
        <f t="shared" si="30"/>
        <v>0.26474909185478257</v>
      </c>
      <c r="R72" s="7">
        <f t="shared" si="30"/>
        <v>0.76361329362642305</v>
      </c>
      <c r="S72" s="5"/>
      <c r="T72" s="5"/>
    </row>
    <row r="73" spans="2:20" x14ac:dyDescent="0.3">
      <c r="B73" s="3">
        <v>2040</v>
      </c>
      <c r="C73" s="23">
        <f t="shared" ref="C73:O73" si="32">IFERROR(C42/(8.76*C12),0)</f>
        <v>0.75185629936531251</v>
      </c>
      <c r="D73" s="23">
        <f t="shared" si="32"/>
        <v>0</v>
      </c>
      <c r="E73" s="23">
        <f t="shared" si="32"/>
        <v>0</v>
      </c>
      <c r="F73" s="23">
        <f t="shared" si="32"/>
        <v>0</v>
      </c>
      <c r="G73" s="23">
        <f t="shared" si="32"/>
        <v>0.50951121278646505</v>
      </c>
      <c r="H73" s="23">
        <f t="shared" si="32"/>
        <v>0</v>
      </c>
      <c r="I73" s="23">
        <f t="shared" si="32"/>
        <v>0.56672632485760399</v>
      </c>
      <c r="J73" s="23">
        <f t="shared" si="32"/>
        <v>0.20371841903134508</v>
      </c>
      <c r="K73" s="23">
        <f t="shared" si="32"/>
        <v>0.76570883204607443</v>
      </c>
      <c r="L73" s="23">
        <f t="shared" si="32"/>
        <v>0.76801322515606874</v>
      </c>
      <c r="M73" s="23">
        <f t="shared" si="32"/>
        <v>0</v>
      </c>
      <c r="N73" s="23">
        <f t="shared" si="32"/>
        <v>0.26800978321233992</v>
      </c>
      <c r="O73" s="23">
        <f t="shared" si="32"/>
        <v>0</v>
      </c>
      <c r="P73" s="26"/>
      <c r="Q73" s="7">
        <f t="shared" si="30"/>
        <v>0.27590198679319367</v>
      </c>
      <c r="R73" s="7">
        <f t="shared" si="30"/>
        <v>0.76742034731708964</v>
      </c>
      <c r="S73" s="5"/>
      <c r="T73" s="5"/>
    </row>
    <row r="74" spans="2:20" x14ac:dyDescent="0.3">
      <c r="B74" s="3">
        <v>2050</v>
      </c>
      <c r="C74" s="23">
        <f t="shared" ref="C74:O74" si="33">IFERROR(C43/(8.76*C13),0)</f>
        <v>0.72023492951351764</v>
      </c>
      <c r="D74" s="23">
        <f t="shared" si="33"/>
        <v>0</v>
      </c>
      <c r="E74" s="23">
        <f t="shared" si="33"/>
        <v>0</v>
      </c>
      <c r="F74" s="23">
        <f t="shared" si="33"/>
        <v>0</v>
      </c>
      <c r="G74" s="23">
        <f t="shared" si="33"/>
        <v>0.50858910810950342</v>
      </c>
      <c r="H74" s="23">
        <f t="shared" si="33"/>
        <v>0</v>
      </c>
      <c r="I74" s="23">
        <f t="shared" si="33"/>
        <v>0</v>
      </c>
      <c r="J74" s="23">
        <f t="shared" si="33"/>
        <v>0</v>
      </c>
      <c r="K74" s="23">
        <f t="shared" si="33"/>
        <v>0</v>
      </c>
      <c r="L74" s="23">
        <f t="shared" si="33"/>
        <v>0</v>
      </c>
      <c r="M74" s="23">
        <f t="shared" si="33"/>
        <v>0</v>
      </c>
      <c r="N74" s="23">
        <f t="shared" si="33"/>
        <v>0.27133706875577329</v>
      </c>
      <c r="O74" s="23">
        <f t="shared" si="33"/>
        <v>0</v>
      </c>
      <c r="P74" s="26"/>
      <c r="Q74" s="7">
        <f t="shared" si="30"/>
        <v>0.27909040337517621</v>
      </c>
      <c r="R74" s="7">
        <f t="shared" si="30"/>
        <v>0</v>
      </c>
      <c r="S74" s="5"/>
      <c r="T74" s="5"/>
    </row>
    <row r="75" spans="2:20" x14ac:dyDescent="0.3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28"/>
      <c r="Q75" s="5"/>
      <c r="R75" s="5"/>
      <c r="S75" s="5"/>
      <c r="T75" s="5"/>
    </row>
    <row r="76" spans="2:20" ht="28.8" x14ac:dyDescent="0.3">
      <c r="B76" s="43" t="s">
        <v>43</v>
      </c>
      <c r="C76" s="43" t="s">
        <v>0</v>
      </c>
      <c r="D76" s="43" t="s">
        <v>1</v>
      </c>
      <c r="E76" s="43" t="s">
        <v>28</v>
      </c>
      <c r="F76" s="2" t="s">
        <v>29</v>
      </c>
      <c r="G76" s="2" t="s">
        <v>6</v>
      </c>
      <c r="H76" s="43" t="s">
        <v>2</v>
      </c>
      <c r="I76" s="43" t="s">
        <v>3</v>
      </c>
      <c r="J76" s="43" t="s">
        <v>4</v>
      </c>
      <c r="K76" s="43" t="s">
        <v>9</v>
      </c>
      <c r="L76" s="43" t="s">
        <v>8</v>
      </c>
      <c r="M76" s="43" t="s">
        <v>25</v>
      </c>
      <c r="N76" s="43" t="s">
        <v>7</v>
      </c>
      <c r="O76" s="43" t="s">
        <v>89</v>
      </c>
      <c r="P76" s="25"/>
      <c r="Q76" s="43" t="s">
        <v>5</v>
      </c>
      <c r="R76" s="43" t="s">
        <v>91</v>
      </c>
      <c r="T76" s="43"/>
    </row>
    <row r="77" spans="2:20" x14ac:dyDescent="0.3">
      <c r="B77" s="3">
        <v>2016</v>
      </c>
      <c r="C77" s="23">
        <f t="shared" ref="C77:O77" si="34">IFERROR(C46/(8.76*C16),0)</f>
        <v>0</v>
      </c>
      <c r="D77" s="23">
        <f t="shared" si="34"/>
        <v>0</v>
      </c>
      <c r="E77" s="23">
        <f t="shared" si="34"/>
        <v>0</v>
      </c>
      <c r="F77" s="23">
        <f t="shared" si="34"/>
        <v>0</v>
      </c>
      <c r="G77" s="23">
        <f t="shared" si="34"/>
        <v>0</v>
      </c>
      <c r="H77" s="23">
        <f t="shared" si="34"/>
        <v>0</v>
      </c>
      <c r="I77" s="23">
        <f t="shared" si="34"/>
        <v>0</v>
      </c>
      <c r="J77" s="23">
        <f t="shared" si="34"/>
        <v>0</v>
      </c>
      <c r="K77" s="23">
        <f t="shared" si="34"/>
        <v>0</v>
      </c>
      <c r="L77" s="23">
        <f t="shared" si="34"/>
        <v>0</v>
      </c>
      <c r="M77" s="23">
        <f t="shared" si="34"/>
        <v>0</v>
      </c>
      <c r="N77" s="23">
        <f t="shared" si="34"/>
        <v>0</v>
      </c>
      <c r="O77" s="23">
        <f t="shared" si="34"/>
        <v>0</v>
      </c>
      <c r="P77" s="26"/>
      <c r="Q77" s="7">
        <f t="shared" ref="Q77:R80" si="35">IFERROR(Q46/(8.76*Q16),0)</f>
        <v>0</v>
      </c>
      <c r="R77" s="7">
        <f t="shared" si="35"/>
        <v>0</v>
      </c>
      <c r="S77" s="5"/>
      <c r="T77" s="5"/>
    </row>
    <row r="78" spans="2:20" x14ac:dyDescent="0.3">
      <c r="B78" s="3">
        <v>2030</v>
      </c>
      <c r="C78" s="23">
        <f t="shared" ref="C78:O78" si="36">IFERROR(C47/(8.76*C17),0)</f>
        <v>0</v>
      </c>
      <c r="D78" s="23">
        <f t="shared" si="36"/>
        <v>0</v>
      </c>
      <c r="E78" s="23">
        <f t="shared" si="36"/>
        <v>0.26277516268115031</v>
      </c>
      <c r="F78" s="23">
        <f t="shared" si="36"/>
        <v>5.5215551018558517E-2</v>
      </c>
      <c r="G78" s="23">
        <f t="shared" si="36"/>
        <v>0</v>
      </c>
      <c r="H78" s="23">
        <f t="shared" si="36"/>
        <v>0.36559885740476572</v>
      </c>
      <c r="I78" s="23">
        <f t="shared" si="36"/>
        <v>0</v>
      </c>
      <c r="J78" s="23">
        <f t="shared" si="36"/>
        <v>0.20266333910435455</v>
      </c>
      <c r="K78" s="23">
        <f t="shared" si="36"/>
        <v>0</v>
      </c>
      <c r="L78" s="23">
        <f t="shared" si="36"/>
        <v>0</v>
      </c>
      <c r="M78" s="23">
        <f t="shared" si="36"/>
        <v>0</v>
      </c>
      <c r="N78" s="23">
        <f t="shared" si="36"/>
        <v>0</v>
      </c>
      <c r="O78" s="23">
        <f t="shared" si="36"/>
        <v>0</v>
      </c>
      <c r="P78" s="26"/>
      <c r="Q78" s="7">
        <f t="shared" si="35"/>
        <v>0</v>
      </c>
      <c r="R78" s="7">
        <f t="shared" si="35"/>
        <v>0</v>
      </c>
      <c r="S78" s="5"/>
      <c r="T78" s="5"/>
    </row>
    <row r="79" spans="2:20" x14ac:dyDescent="0.3">
      <c r="B79" s="3">
        <v>2040</v>
      </c>
      <c r="C79" s="23">
        <f t="shared" ref="C79:O79" si="37">IFERROR(C48/(8.76*C18),0)</f>
        <v>0</v>
      </c>
      <c r="D79" s="23">
        <f t="shared" si="37"/>
        <v>0</v>
      </c>
      <c r="E79" s="23">
        <f t="shared" si="37"/>
        <v>0.2921402085711739</v>
      </c>
      <c r="F79" s="23">
        <f t="shared" si="37"/>
        <v>4.678732074862172E-2</v>
      </c>
      <c r="G79" s="23">
        <f t="shared" si="37"/>
        <v>0</v>
      </c>
      <c r="H79" s="23">
        <f t="shared" si="37"/>
        <v>0.35013417451639472</v>
      </c>
      <c r="I79" s="23">
        <f t="shared" si="37"/>
        <v>0</v>
      </c>
      <c r="J79" s="23">
        <f t="shared" si="37"/>
        <v>0.19533190154350033</v>
      </c>
      <c r="K79" s="23">
        <f t="shared" si="37"/>
        <v>0.71481426029159956</v>
      </c>
      <c r="L79" s="23">
        <f t="shared" si="37"/>
        <v>0</v>
      </c>
      <c r="M79" s="23">
        <f t="shared" si="37"/>
        <v>0</v>
      </c>
      <c r="N79" s="23">
        <f t="shared" si="37"/>
        <v>0</v>
      </c>
      <c r="O79" s="23">
        <f t="shared" si="37"/>
        <v>0</v>
      </c>
      <c r="P79" s="26"/>
      <c r="Q79" s="7">
        <f t="shared" si="35"/>
        <v>0</v>
      </c>
      <c r="R79" s="7">
        <f t="shared" si="35"/>
        <v>0.71481426029159956</v>
      </c>
      <c r="S79" s="5"/>
      <c r="T79" s="5"/>
    </row>
    <row r="80" spans="2:20" x14ac:dyDescent="0.3">
      <c r="B80" s="3">
        <v>2050</v>
      </c>
      <c r="C80" s="23">
        <f t="shared" ref="C80:O80" si="38">IFERROR(C49/(8.76*C19),0)</f>
        <v>0</v>
      </c>
      <c r="D80" s="23">
        <f t="shared" si="38"/>
        <v>0</v>
      </c>
      <c r="E80" s="23">
        <f t="shared" si="38"/>
        <v>0.32108866793210838</v>
      </c>
      <c r="F80" s="23">
        <f t="shared" si="38"/>
        <v>4.37138739909462E-2</v>
      </c>
      <c r="G80" s="23">
        <f t="shared" si="38"/>
        <v>0</v>
      </c>
      <c r="H80" s="23">
        <f t="shared" si="38"/>
        <v>0.34576466202624057</v>
      </c>
      <c r="I80" s="23">
        <f t="shared" si="38"/>
        <v>0</v>
      </c>
      <c r="J80" s="23">
        <f t="shared" si="38"/>
        <v>0.17367873835868031</v>
      </c>
      <c r="K80" s="23">
        <f t="shared" si="38"/>
        <v>0.59705742740447609</v>
      </c>
      <c r="L80" s="23">
        <f t="shared" si="38"/>
        <v>0</v>
      </c>
      <c r="M80" s="23">
        <f t="shared" si="38"/>
        <v>0</v>
      </c>
      <c r="N80" s="23">
        <f t="shared" si="38"/>
        <v>0</v>
      </c>
      <c r="O80" s="23">
        <f t="shared" si="38"/>
        <v>0</v>
      </c>
      <c r="P80" s="26"/>
      <c r="Q80" s="7">
        <f t="shared" si="35"/>
        <v>0</v>
      </c>
      <c r="R80" s="7">
        <f t="shared" si="35"/>
        <v>0.59705742740447609</v>
      </c>
      <c r="S80" s="5"/>
      <c r="T80" s="5"/>
    </row>
    <row r="81" spans="1:58" x14ac:dyDescent="0.3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28"/>
    </row>
    <row r="82" spans="1:58" ht="28.8" x14ac:dyDescent="0.3">
      <c r="B82" s="43" t="s">
        <v>52</v>
      </c>
      <c r="C82" s="43" t="s">
        <v>0</v>
      </c>
      <c r="D82" s="43" t="s">
        <v>1</v>
      </c>
      <c r="E82" s="43" t="s">
        <v>28</v>
      </c>
      <c r="F82" s="2" t="s">
        <v>29</v>
      </c>
      <c r="G82" s="2" t="s">
        <v>6</v>
      </c>
      <c r="H82" s="43" t="s">
        <v>2</v>
      </c>
      <c r="I82" s="43" t="s">
        <v>3</v>
      </c>
      <c r="J82" s="43" t="s">
        <v>4</v>
      </c>
      <c r="K82" s="43" t="s">
        <v>9</v>
      </c>
      <c r="L82" s="43" t="s">
        <v>8</v>
      </c>
      <c r="M82" s="43" t="s">
        <v>25</v>
      </c>
      <c r="N82" s="43" t="s">
        <v>7</v>
      </c>
      <c r="O82" s="43" t="s">
        <v>89</v>
      </c>
      <c r="P82" s="25"/>
      <c r="Q82" s="43" t="s">
        <v>5</v>
      </c>
      <c r="R82" s="43" t="s">
        <v>91</v>
      </c>
      <c r="T82" s="43"/>
    </row>
    <row r="83" spans="1:58" x14ac:dyDescent="0.3">
      <c r="B83" s="3">
        <v>2016</v>
      </c>
      <c r="C83" s="23">
        <f t="shared" ref="C83:O83" si="39">IFERROR(C52/(8.76*C22),0)</f>
        <v>0.6205435050544672</v>
      </c>
      <c r="D83" s="23">
        <f t="shared" si="39"/>
        <v>0.90488773776270071</v>
      </c>
      <c r="E83" s="23">
        <f t="shared" si="39"/>
        <v>0.20327398012747969</v>
      </c>
      <c r="F83" s="23">
        <f t="shared" si="39"/>
        <v>6.7588779038524713E-2</v>
      </c>
      <c r="G83" s="23">
        <f t="shared" si="39"/>
        <v>0.82769756710584552</v>
      </c>
      <c r="H83" s="23">
        <f t="shared" si="39"/>
        <v>0.35157512265711616</v>
      </c>
      <c r="I83" s="23">
        <f t="shared" si="39"/>
        <v>0.52020148970217572</v>
      </c>
      <c r="J83" s="23">
        <f t="shared" si="39"/>
        <v>0.20369543738680201</v>
      </c>
      <c r="K83" s="23">
        <f t="shared" si="39"/>
        <v>0</v>
      </c>
      <c r="L83" s="23">
        <f t="shared" si="39"/>
        <v>0.70146494880899946</v>
      </c>
      <c r="M83" s="23">
        <f t="shared" si="39"/>
        <v>0</v>
      </c>
      <c r="N83" s="23">
        <f t="shared" si="39"/>
        <v>0.21634536847565858</v>
      </c>
      <c r="O83" s="23">
        <f t="shared" si="39"/>
        <v>0</v>
      </c>
      <c r="P83" s="26"/>
      <c r="Q83" s="7">
        <f t="shared" ref="Q83:R86" si="40">IFERROR(Q52/(8.76*Q22),0)</f>
        <v>0.57073122663346065</v>
      </c>
      <c r="R83" s="7">
        <f t="shared" si="40"/>
        <v>0.70146494880899946</v>
      </c>
      <c r="S83" s="5"/>
      <c r="T83" s="5"/>
    </row>
    <row r="84" spans="1:58" x14ac:dyDescent="0.3">
      <c r="B84" s="3">
        <v>2030</v>
      </c>
      <c r="C84" s="23">
        <f t="shared" ref="C84:O84" si="41">IFERROR(C53/(8.76*C23),0)</f>
        <v>0.67093198671529442</v>
      </c>
      <c r="D84" s="23">
        <f t="shared" si="41"/>
        <v>0.89492563175456208</v>
      </c>
      <c r="E84" s="23">
        <f t="shared" si="41"/>
        <v>0.38607131247897564</v>
      </c>
      <c r="F84" s="23">
        <f t="shared" si="41"/>
        <v>4.1616267122224236E-2</v>
      </c>
      <c r="G84" s="23">
        <f t="shared" si="41"/>
        <v>0.65170364261442149</v>
      </c>
      <c r="H84" s="23">
        <f t="shared" si="41"/>
        <v>0.3656939596125845</v>
      </c>
      <c r="I84" s="23">
        <f t="shared" si="41"/>
        <v>0.5493537012194224</v>
      </c>
      <c r="J84" s="23">
        <f t="shared" si="41"/>
        <v>0.20261959312687008</v>
      </c>
      <c r="K84" s="23">
        <f t="shared" si="41"/>
        <v>0.76232288388760217</v>
      </c>
      <c r="L84" s="23">
        <f t="shared" si="41"/>
        <v>0.70782722109149887</v>
      </c>
      <c r="M84" s="23">
        <f t="shared" si="41"/>
        <v>0</v>
      </c>
      <c r="N84" s="23">
        <f t="shared" si="41"/>
        <v>0.19792238154800132</v>
      </c>
      <c r="O84" s="23">
        <f t="shared" si="41"/>
        <v>0</v>
      </c>
      <c r="P84" s="26"/>
      <c r="Q84" s="7">
        <f t="shared" si="40"/>
        <v>0.38245511598056997</v>
      </c>
      <c r="R84" s="7">
        <f t="shared" si="40"/>
        <v>0.7139724766833998</v>
      </c>
      <c r="S84" s="5"/>
      <c r="T84" s="5"/>
    </row>
    <row r="85" spans="1:58" x14ac:dyDescent="0.3">
      <c r="B85" s="3">
        <v>2040</v>
      </c>
      <c r="C85" s="23">
        <f t="shared" ref="C85:O85" si="42">IFERROR(C54/(8.76*C24),0)</f>
        <v>0.64863346277118528</v>
      </c>
      <c r="D85" s="23">
        <f t="shared" si="42"/>
        <v>0.85604047190216292</v>
      </c>
      <c r="E85" s="23">
        <f t="shared" si="42"/>
        <v>0.31311259313302547</v>
      </c>
      <c r="F85" s="23">
        <f t="shared" si="42"/>
        <v>4.4840337234789876E-2</v>
      </c>
      <c r="G85" s="23">
        <f t="shared" si="42"/>
        <v>0.60820037316780029</v>
      </c>
      <c r="H85" s="23">
        <f t="shared" si="42"/>
        <v>0.35013417451639472</v>
      </c>
      <c r="I85" s="23">
        <f t="shared" si="42"/>
        <v>0.55049047175771937</v>
      </c>
      <c r="J85" s="23">
        <f t="shared" si="42"/>
        <v>0.19569538675963771</v>
      </c>
      <c r="K85" s="23">
        <f t="shared" si="42"/>
        <v>0.72357209244415521</v>
      </c>
      <c r="L85" s="23">
        <f t="shared" si="42"/>
        <v>0.71450700109641518</v>
      </c>
      <c r="M85" s="23">
        <f t="shared" si="42"/>
        <v>0</v>
      </c>
      <c r="N85" s="23">
        <f t="shared" si="42"/>
        <v>0.21249914872261391</v>
      </c>
      <c r="O85" s="23">
        <f t="shared" si="42"/>
        <v>0</v>
      </c>
      <c r="P85" s="26"/>
      <c r="Q85" s="7">
        <f t="shared" si="40"/>
        <v>0.373413305454392</v>
      </c>
      <c r="R85" s="7">
        <f t="shared" si="40"/>
        <v>0.71835810197242056</v>
      </c>
      <c r="S85" s="5"/>
      <c r="T85" s="5"/>
    </row>
    <row r="86" spans="1:58" x14ac:dyDescent="0.3">
      <c r="B86" s="3">
        <v>2050</v>
      </c>
      <c r="C86" s="23">
        <f t="shared" ref="C86:O86" si="43">IFERROR(C55/(8.76*C25),0)</f>
        <v>0.67295319300812306</v>
      </c>
      <c r="D86" s="23">
        <f t="shared" si="43"/>
        <v>0</v>
      </c>
      <c r="E86" s="23">
        <f t="shared" si="43"/>
        <v>0.33109628697806492</v>
      </c>
      <c r="F86" s="23">
        <f t="shared" si="43"/>
        <v>4.37138739909462E-2</v>
      </c>
      <c r="G86" s="23">
        <f t="shared" si="43"/>
        <v>0.58301760353699739</v>
      </c>
      <c r="H86" s="23">
        <f t="shared" si="43"/>
        <v>0.34576466202624057</v>
      </c>
      <c r="I86" s="23">
        <f t="shared" si="43"/>
        <v>0</v>
      </c>
      <c r="J86" s="23">
        <f t="shared" si="43"/>
        <v>0.17367873835868031</v>
      </c>
      <c r="K86" s="23">
        <f t="shared" si="43"/>
        <v>0.59705742740447609</v>
      </c>
      <c r="L86" s="23">
        <f t="shared" si="43"/>
        <v>0.70893261406703678</v>
      </c>
      <c r="M86" s="23">
        <f t="shared" si="43"/>
        <v>0</v>
      </c>
      <c r="N86" s="23">
        <f t="shared" si="43"/>
        <v>0.21291025500649147</v>
      </c>
      <c r="O86" s="23">
        <f t="shared" si="43"/>
        <v>0</v>
      </c>
      <c r="P86" s="26"/>
      <c r="Q86" s="7">
        <f t="shared" si="40"/>
        <v>0.36341651632151156</v>
      </c>
      <c r="R86" s="7">
        <f t="shared" si="40"/>
        <v>0.65134979740248344</v>
      </c>
      <c r="S86" s="5"/>
      <c r="T86" s="5"/>
    </row>
    <row r="87" spans="1:58" s="11" customFormat="1" x14ac:dyDescent="0.3">
      <c r="C87" s="12"/>
      <c r="D87" s="12"/>
      <c r="E87" s="14"/>
      <c r="F87" s="14"/>
      <c r="G87" s="14"/>
      <c r="H87" s="16"/>
      <c r="I87" s="14"/>
      <c r="J87" s="14"/>
      <c r="K87" s="16"/>
      <c r="L87" s="14"/>
      <c r="M87" s="16"/>
      <c r="N87" s="20"/>
      <c r="O87" s="20"/>
      <c r="P87" s="20"/>
    </row>
    <row r="88" spans="1:58" s="9" customFormat="1" ht="21" x14ac:dyDescent="0.4">
      <c r="B88" s="10" t="s">
        <v>57</v>
      </c>
    </row>
    <row r="89" spans="1:58" ht="28.8" x14ac:dyDescent="0.3">
      <c r="B89" s="43" t="s">
        <v>56</v>
      </c>
      <c r="C89" s="43" t="s">
        <v>0</v>
      </c>
      <c r="D89" s="43" t="s">
        <v>1</v>
      </c>
      <c r="E89" s="43" t="s">
        <v>28</v>
      </c>
      <c r="F89" s="2" t="s">
        <v>29</v>
      </c>
      <c r="G89" s="2" t="s">
        <v>6</v>
      </c>
      <c r="H89" s="43" t="s">
        <v>2</v>
      </c>
      <c r="I89" s="43" t="s">
        <v>3</v>
      </c>
      <c r="J89" s="43" t="s">
        <v>4</v>
      </c>
      <c r="K89" s="43" t="s">
        <v>9</v>
      </c>
      <c r="L89" s="43" t="s">
        <v>8</v>
      </c>
      <c r="M89" s="43" t="s">
        <v>25</v>
      </c>
      <c r="N89" s="43" t="s">
        <v>7</v>
      </c>
      <c r="O89" s="43" t="s">
        <v>89</v>
      </c>
      <c r="P89" s="25"/>
      <c r="Q89" s="43"/>
      <c r="R89" s="43"/>
      <c r="T89" s="43"/>
      <c r="U89" s="25"/>
      <c r="V89" s="25"/>
      <c r="W89" s="25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</row>
    <row r="90" spans="1:58" x14ac:dyDescent="0.3">
      <c r="A90" s="15"/>
      <c r="B90" s="3">
        <v>2016</v>
      </c>
      <c r="C90" s="80">
        <f>Y90*(Inputs_Summary!$N72/$Y52)</f>
        <v>237361.23967653932</v>
      </c>
      <c r="D90" s="80">
        <f>Z90*(Inputs_Summary!$N72/$Y52)</f>
        <v>14483.908918227477</v>
      </c>
      <c r="E90" s="80">
        <f>AA90*(Inputs_Summary!$N72/$Y52)</f>
        <v>2953.3918178067293</v>
      </c>
      <c r="F90" s="80">
        <f>AB90*(Inputs_Summary!$N72/$Y52)</f>
        <v>26109.111840910784</v>
      </c>
      <c r="G90" s="80">
        <f>AC90*(Inputs_Summary!$N72/$Y52)</f>
        <v>17279.155266936097</v>
      </c>
      <c r="H90" s="44">
        <f>AD90*(Inputs_Summary!$N72/$Y52)</f>
        <v>4573.4046786099279</v>
      </c>
      <c r="I90" s="80">
        <f>AE90*(Inputs_Summary!$N72/$Y52)</f>
        <v>922.30319981359185</v>
      </c>
      <c r="J90" s="44">
        <f>AF90*(Inputs_Summary!$N72/$Y52)</f>
        <v>2684.1837758456386</v>
      </c>
      <c r="K90" s="80">
        <f>AG90*(Inputs_Summary!$N72/$Y52)</f>
        <v>0</v>
      </c>
      <c r="L90" s="80">
        <f>AH90*(Inputs_Summary!$N72/$Y52)</f>
        <v>1875.5851175839462</v>
      </c>
      <c r="M90" s="80">
        <f>AI90*(Inputs_Summary!$N72/$Y52)</f>
        <v>0</v>
      </c>
      <c r="N90" s="80">
        <f>AJ90*(Inputs_Summary!$N72/$Y52)</f>
        <v>12224.544031685698</v>
      </c>
      <c r="O90" s="80" t="e">
        <f>AK90*(Inputs_Summary!#REF!/$Y52)</f>
        <v>#REF!</v>
      </c>
      <c r="P90" s="83"/>
      <c r="Q90" s="39"/>
      <c r="R90" s="5"/>
      <c r="T90" s="5"/>
      <c r="U90" s="24"/>
      <c r="V90" s="24"/>
      <c r="W90" s="26"/>
      <c r="X90" s="39"/>
      <c r="Y90" s="82">
        <v>235642</v>
      </c>
      <c r="Z90" s="39">
        <v>14379</v>
      </c>
      <c r="AA90" s="39">
        <v>2932</v>
      </c>
      <c r="AB90" s="39">
        <v>25920</v>
      </c>
      <c r="AC90" s="39">
        <v>17154</v>
      </c>
      <c r="AD90" s="39">
        <v>4540.2788877644989</v>
      </c>
      <c r="AE90" s="39">
        <v>915.6228325511039</v>
      </c>
      <c r="AF90" s="39">
        <v>2664.7418684270319</v>
      </c>
      <c r="AG90" s="39">
        <v>0</v>
      </c>
      <c r="AH90" s="39">
        <v>1862</v>
      </c>
      <c r="AI90" s="39">
        <v>0</v>
      </c>
      <c r="AJ90" s="39">
        <v>12136</v>
      </c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</row>
    <row r="91" spans="1:58" x14ac:dyDescent="0.3">
      <c r="A91" s="15"/>
      <c r="B91" s="3">
        <v>2030</v>
      </c>
      <c r="C91" s="80">
        <f>Y91*(Inputs_Summary!$N73/$Y53)</f>
        <v>0</v>
      </c>
      <c r="D91" s="80">
        <f>Z91*(Inputs_Summary!$N73/$Y53)</f>
        <v>0</v>
      </c>
      <c r="E91" s="80">
        <f>AA91*(Inputs_Summary!$N73/$Y53)</f>
        <v>0</v>
      </c>
      <c r="F91" s="80">
        <f>AB91*(Inputs_Summary!$N73/$Y53)</f>
        <v>0</v>
      </c>
      <c r="G91" s="80">
        <f>AC91*(Inputs_Summary!$N73/$Y53)</f>
        <v>0</v>
      </c>
      <c r="H91" s="44">
        <f>AD91*(Inputs_Summary!$N73/$Y53)</f>
        <v>0</v>
      </c>
      <c r="I91" s="80">
        <f>AE91*(Inputs_Summary!$N73/$Y53)</f>
        <v>0</v>
      </c>
      <c r="J91" s="44">
        <f>AF91*(Inputs_Summary!$N73/$Y53)</f>
        <v>0</v>
      </c>
      <c r="K91" s="80">
        <f>AG91*(Inputs_Summary!$N73/$Y53)</f>
        <v>0</v>
      </c>
      <c r="L91" s="80">
        <f>AH91*(Inputs_Summary!$N73/$Y53)</f>
        <v>0</v>
      </c>
      <c r="M91" s="80">
        <f>AI91*(Inputs_Summary!$N73/$Y53)</f>
        <v>0</v>
      </c>
      <c r="N91" s="80">
        <f>AJ91*(Inputs_Summary!$N73/$Y53)</f>
        <v>0</v>
      </c>
      <c r="O91" s="80" t="e">
        <f>AK91*(Inputs_Summary!#REF!/$Y53)</f>
        <v>#REF!</v>
      </c>
      <c r="P91" s="83"/>
      <c r="Q91" s="39"/>
      <c r="R91" s="5"/>
      <c r="T91" s="5"/>
      <c r="U91" s="24"/>
      <c r="V91" s="24"/>
      <c r="W91" s="26"/>
      <c r="X91" s="39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</row>
    <row r="92" spans="1:58" x14ac:dyDescent="0.3">
      <c r="A92" s="15"/>
      <c r="B92" s="3">
        <v>2040</v>
      </c>
      <c r="C92" s="80">
        <f>Y92*(Inputs_Summary!$N74/$Y54)</f>
        <v>0</v>
      </c>
      <c r="D92" s="80">
        <f>Z92*(Inputs_Summary!$N74/$Y54)</f>
        <v>0</v>
      </c>
      <c r="E92" s="80">
        <f>AA92*(Inputs_Summary!$N74/$Y54)</f>
        <v>0</v>
      </c>
      <c r="F92" s="80">
        <f>AB92*(Inputs_Summary!$N74/$Y54)</f>
        <v>0</v>
      </c>
      <c r="G92" s="80">
        <f>AC92*(Inputs_Summary!$N74/$Y54)</f>
        <v>0</v>
      </c>
      <c r="H92" s="44">
        <f>AD92*(Inputs_Summary!$N74/$Y54)</f>
        <v>0</v>
      </c>
      <c r="I92" s="80">
        <f>AE92*(Inputs_Summary!$N74/$Y54)</f>
        <v>0</v>
      </c>
      <c r="J92" s="44">
        <f>AF92*(Inputs_Summary!$N74/$Y54)</f>
        <v>0</v>
      </c>
      <c r="K92" s="80">
        <f>AG92*(Inputs_Summary!$N74/$Y54)</f>
        <v>0</v>
      </c>
      <c r="L92" s="80">
        <f>AH92*(Inputs_Summary!$N74/$Y54)</f>
        <v>0</v>
      </c>
      <c r="M92" s="80">
        <f>AI92*(Inputs_Summary!$N74/$Y54)</f>
        <v>0</v>
      </c>
      <c r="N92" s="80">
        <f>AJ92*(Inputs_Summary!$N74/$Y54)</f>
        <v>0</v>
      </c>
      <c r="O92" s="80" t="e">
        <f>AK92*(Inputs_Summary!#REF!/$Y54)</f>
        <v>#REF!</v>
      </c>
      <c r="P92" s="83"/>
      <c r="Q92" s="39"/>
      <c r="R92" s="5"/>
      <c r="T92" s="5"/>
      <c r="U92" s="24"/>
      <c r="V92" s="24"/>
      <c r="W92" s="26"/>
      <c r="X92" s="39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</row>
    <row r="93" spans="1:58" x14ac:dyDescent="0.3">
      <c r="A93" s="15"/>
      <c r="B93" s="3">
        <v>2050</v>
      </c>
      <c r="C93" s="80">
        <f>Y93*(Inputs_Summary!$N75/$Y55)</f>
        <v>0</v>
      </c>
      <c r="D93" s="80">
        <f>Z93*(Inputs_Summary!$N75/$Y55)</f>
        <v>0</v>
      </c>
      <c r="E93" s="80">
        <f>AA93*(Inputs_Summary!$N75/$Y55)</f>
        <v>0</v>
      </c>
      <c r="F93" s="80">
        <f>AB93*(Inputs_Summary!$N75/$Y55)</f>
        <v>0</v>
      </c>
      <c r="G93" s="80">
        <f>AC93*(Inputs_Summary!$N75/$Y55)</f>
        <v>0</v>
      </c>
      <c r="H93" s="44">
        <f>AD93*(Inputs_Summary!$N75/$Y55)</f>
        <v>0</v>
      </c>
      <c r="I93" s="80">
        <f>AE93*(Inputs_Summary!$N75/$Y55)</f>
        <v>0</v>
      </c>
      <c r="J93" s="44">
        <f>AF93*(Inputs_Summary!$N75/$Y55)</f>
        <v>0</v>
      </c>
      <c r="K93" s="80">
        <f>AG93*(Inputs_Summary!$N75/$Y55)</f>
        <v>0</v>
      </c>
      <c r="L93" s="80">
        <f>AH93*(Inputs_Summary!$N75/$Y55)</f>
        <v>0</v>
      </c>
      <c r="M93" s="80">
        <f>AI93*(Inputs_Summary!$N75/$Y55)</f>
        <v>0</v>
      </c>
      <c r="N93" s="80">
        <f>AJ93*(Inputs_Summary!$N75/$Y55)</f>
        <v>0</v>
      </c>
      <c r="O93" s="80" t="e">
        <f>AK93*(Inputs_Summary!#REF!/$Y55)</f>
        <v>#REF!</v>
      </c>
      <c r="P93" s="83"/>
      <c r="Q93" s="39"/>
      <c r="R93" s="5"/>
      <c r="T93" s="5"/>
      <c r="U93" s="24"/>
      <c r="V93" s="24"/>
      <c r="W93" s="26"/>
      <c r="X93" s="39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</row>
    <row r="94" spans="1:58" s="11" customFormat="1" x14ac:dyDescent="0.3">
      <c r="A94" s="20"/>
      <c r="C94" s="83"/>
      <c r="D94" s="83"/>
      <c r="E94" s="83"/>
      <c r="F94" s="83"/>
      <c r="G94" s="83"/>
      <c r="H94" s="56"/>
      <c r="I94" s="83"/>
      <c r="J94" s="56"/>
      <c r="K94" s="83"/>
      <c r="L94" s="83"/>
      <c r="M94" s="83"/>
      <c r="N94" s="83"/>
      <c r="O94" s="83"/>
      <c r="P94" s="83"/>
      <c r="Q94" s="12"/>
      <c r="R94" s="57"/>
      <c r="T94" s="57"/>
      <c r="U94" s="24"/>
      <c r="V94" s="24"/>
      <c r="W94" s="26"/>
      <c r="X94" s="1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</row>
    <row r="95" spans="1:58" ht="28.8" x14ac:dyDescent="0.3">
      <c r="B95" s="43" t="s">
        <v>54</v>
      </c>
      <c r="C95" s="43" t="s">
        <v>0</v>
      </c>
      <c r="D95" s="43" t="s">
        <v>1</v>
      </c>
      <c r="E95" s="43" t="s">
        <v>28</v>
      </c>
      <c r="F95" s="2" t="s">
        <v>29</v>
      </c>
      <c r="G95" s="2" t="s">
        <v>6</v>
      </c>
      <c r="H95" s="43" t="s">
        <v>2</v>
      </c>
      <c r="I95" s="43" t="s">
        <v>3</v>
      </c>
      <c r="J95" s="43" t="s">
        <v>4</v>
      </c>
      <c r="K95" s="43" t="s">
        <v>9</v>
      </c>
      <c r="L95" s="43" t="s">
        <v>8</v>
      </c>
      <c r="M95" s="43" t="s">
        <v>25</v>
      </c>
      <c r="N95" s="43" t="s">
        <v>7</v>
      </c>
      <c r="O95" s="43" t="s">
        <v>89</v>
      </c>
      <c r="P95" s="25"/>
      <c r="Q95" s="43"/>
      <c r="R95" s="43"/>
      <c r="T95" s="43"/>
      <c r="U95" s="25"/>
      <c r="V95" s="25"/>
      <c r="W95" s="25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</row>
    <row r="96" spans="1:58" x14ac:dyDescent="0.3">
      <c r="A96" s="15"/>
      <c r="B96" s="3">
        <v>2016</v>
      </c>
      <c r="C96" s="80">
        <f t="shared" ref="C96:O99" si="44">C90-C52</f>
        <v>37415.718339017825</v>
      </c>
      <c r="D96" s="80">
        <f t="shared" si="44"/>
        <v>-259.96992578286336</v>
      </c>
      <c r="E96" s="80">
        <f t="shared" si="44"/>
        <v>2197.3150618184891</v>
      </c>
      <c r="F96" s="80">
        <f t="shared" si="44"/>
        <v>24084.798169644193</v>
      </c>
      <c r="G96" s="80">
        <f t="shared" si="44"/>
        <v>1480.0309981170321</v>
      </c>
      <c r="H96" s="50">
        <f t="shared" si="44"/>
        <v>76.899489874474966</v>
      </c>
      <c r="I96" s="80">
        <f t="shared" si="44"/>
        <v>10.91018985537994</v>
      </c>
      <c r="J96" s="50">
        <f t="shared" si="44"/>
        <v>45.097541244736476</v>
      </c>
      <c r="K96" s="80">
        <f t="shared" si="44"/>
        <v>0</v>
      </c>
      <c r="L96" s="80">
        <f t="shared" si="44"/>
        <v>253.34921837030174</v>
      </c>
      <c r="M96" s="80">
        <f t="shared" si="44"/>
        <v>0</v>
      </c>
      <c r="N96" s="80">
        <f t="shared" si="44"/>
        <v>9230.1510556878038</v>
      </c>
      <c r="O96" s="80" t="e">
        <f t="shared" si="44"/>
        <v>#REF!</v>
      </c>
      <c r="P96" s="83"/>
      <c r="Q96" s="39"/>
      <c r="R96" s="5"/>
      <c r="T96" s="5"/>
      <c r="U96" s="24"/>
      <c r="V96" s="24"/>
      <c r="W96" s="26"/>
      <c r="X96" s="39"/>
      <c r="Y96" s="82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</row>
    <row r="97" spans="1:58" x14ac:dyDescent="0.3">
      <c r="A97" s="15"/>
      <c r="B97" s="3">
        <v>2030</v>
      </c>
      <c r="C97" s="80">
        <f t="shared" ref="C97:N97" si="45">C91-C53</f>
        <v>-191696.11086546493</v>
      </c>
      <c r="D97" s="80">
        <f t="shared" si="45"/>
        <v>-14581.560273556133</v>
      </c>
      <c r="E97" s="80">
        <f t="shared" si="45"/>
        <v>-3911.6035009154848</v>
      </c>
      <c r="F97" s="80">
        <f t="shared" si="45"/>
        <v>-3864.6846584012442</v>
      </c>
      <c r="G97" s="80">
        <f t="shared" si="45"/>
        <v>-12696.646774288385</v>
      </c>
      <c r="H97" s="50">
        <f t="shared" si="45"/>
        <v>-56720.80070036769</v>
      </c>
      <c r="I97" s="80">
        <f t="shared" si="45"/>
        <v>-5052.9553438162475</v>
      </c>
      <c r="J97" s="50">
        <f t="shared" si="45"/>
        <v>-17591.506018328386</v>
      </c>
      <c r="K97" s="80">
        <f t="shared" si="45"/>
        <v>-353.93126853133589</v>
      </c>
      <c r="L97" s="80">
        <f t="shared" si="45"/>
        <v>-2585.6362124695579</v>
      </c>
      <c r="M97" s="80">
        <f t="shared" si="45"/>
        <v>0</v>
      </c>
      <c r="N97" s="80">
        <f t="shared" si="45"/>
        <v>-5626.181202359795</v>
      </c>
      <c r="O97" s="80" t="e">
        <f t="shared" si="44"/>
        <v>#REF!</v>
      </c>
      <c r="P97" s="83"/>
      <c r="Q97" s="39"/>
      <c r="R97" s="5"/>
      <c r="T97" s="5"/>
      <c r="U97" s="24"/>
      <c r="V97" s="24"/>
      <c r="W97" s="26"/>
      <c r="X97" s="39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</row>
    <row r="98" spans="1:58" x14ac:dyDescent="0.3">
      <c r="A98" s="15"/>
      <c r="B98" s="3">
        <v>2040</v>
      </c>
      <c r="C98" s="80">
        <f t="shared" ref="C98:N98" si="46">C92-C54</f>
        <v>-97708.172986124526</v>
      </c>
      <c r="D98" s="80">
        <f t="shared" si="46"/>
        <v>-13947.981032985082</v>
      </c>
      <c r="E98" s="80">
        <f t="shared" si="46"/>
        <v>-17226.846183298014</v>
      </c>
      <c r="F98" s="80">
        <f t="shared" si="46"/>
        <v>-7705.5841648854866</v>
      </c>
      <c r="G98" s="80">
        <f t="shared" si="46"/>
        <v>-11849.105638144645</v>
      </c>
      <c r="H98" s="50">
        <f t="shared" si="46"/>
        <v>-125447.47258243196</v>
      </c>
      <c r="I98" s="80">
        <f t="shared" si="46"/>
        <v>-5063.4113592275025</v>
      </c>
      <c r="J98" s="50">
        <f t="shared" si="46"/>
        <v>-69886.525168584121</v>
      </c>
      <c r="K98" s="80">
        <f t="shared" si="46"/>
        <v>-1952.2553911817263</v>
      </c>
      <c r="L98" s="80">
        <f t="shared" si="46"/>
        <v>-2610.036914445117</v>
      </c>
      <c r="M98" s="80">
        <f t="shared" si="46"/>
        <v>0</v>
      </c>
      <c r="N98" s="80">
        <f t="shared" si="46"/>
        <v>-6040.5433014187674</v>
      </c>
      <c r="O98" s="80" t="e">
        <f t="shared" si="44"/>
        <v>#REF!</v>
      </c>
      <c r="P98" s="83"/>
      <c r="Q98" s="39"/>
      <c r="R98" s="5"/>
      <c r="T98" s="5"/>
      <c r="U98" s="24"/>
      <c r="V98" s="24"/>
      <c r="W98" s="26"/>
      <c r="X98" s="39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</row>
    <row r="99" spans="1:58" x14ac:dyDescent="0.3">
      <c r="A99" s="15"/>
      <c r="B99" s="3">
        <v>2050</v>
      </c>
      <c r="C99" s="80">
        <f t="shared" ref="C99:N99" si="47">C93-C55</f>
        <v>-60165.084121486318</v>
      </c>
      <c r="D99" s="80">
        <f t="shared" si="47"/>
        <v>0</v>
      </c>
      <c r="E99" s="80">
        <f t="shared" si="47"/>
        <v>-35201.03680167273</v>
      </c>
      <c r="F99" s="80">
        <f t="shared" si="47"/>
        <v>-9907.2564475493382</v>
      </c>
      <c r="G99" s="80">
        <f t="shared" si="47"/>
        <v>-11358.488876332631</v>
      </c>
      <c r="H99" s="50">
        <f t="shared" si="47"/>
        <v>-180219.45714131711</v>
      </c>
      <c r="I99" s="80">
        <f t="shared" si="47"/>
        <v>0</v>
      </c>
      <c r="J99" s="50">
        <f t="shared" si="47"/>
        <v>-84134.843865618779</v>
      </c>
      <c r="K99" s="80">
        <f t="shared" si="47"/>
        <v>-1464.4624579376987</v>
      </c>
      <c r="L99" s="80">
        <f t="shared" si="47"/>
        <v>-1639.5059205959919</v>
      </c>
      <c r="M99" s="80">
        <f t="shared" si="47"/>
        <v>0</v>
      </c>
      <c r="N99" s="80">
        <f t="shared" si="47"/>
        <v>-6052.2294908655276</v>
      </c>
      <c r="O99" s="80" t="e">
        <f t="shared" si="44"/>
        <v>#REF!</v>
      </c>
      <c r="P99" s="83"/>
      <c r="Q99" s="39"/>
      <c r="R99" s="5"/>
      <c r="T99" s="5"/>
      <c r="U99" s="24"/>
      <c r="V99" s="24"/>
      <c r="W99" s="26"/>
      <c r="X99" s="39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</row>
    <row r="100" spans="1:58" s="11" customFormat="1" x14ac:dyDescent="0.3">
      <c r="A100" s="20"/>
      <c r="C100" s="83"/>
      <c r="D100" s="83"/>
      <c r="E100" s="83"/>
      <c r="F100" s="83"/>
      <c r="G100" s="83"/>
      <c r="H100" s="56"/>
      <c r="I100" s="83"/>
      <c r="J100" s="56"/>
      <c r="K100" s="83"/>
      <c r="L100" s="83"/>
      <c r="M100" s="83"/>
      <c r="N100" s="83"/>
      <c r="O100" s="83"/>
      <c r="P100" s="83"/>
      <c r="Q100" s="12"/>
      <c r="R100" s="57"/>
      <c r="T100" s="57"/>
      <c r="U100" s="24"/>
      <c r="V100" s="24"/>
      <c r="W100" s="26"/>
      <c r="X100" s="1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</row>
    <row r="101" spans="1:58" s="11" customFormat="1" ht="28.8" x14ac:dyDescent="0.3">
      <c r="A101" s="20"/>
      <c r="B101" s="43" t="s">
        <v>55</v>
      </c>
      <c r="C101" s="43" t="s">
        <v>0</v>
      </c>
      <c r="D101" s="43" t="s">
        <v>1</v>
      </c>
      <c r="E101" s="43" t="s">
        <v>28</v>
      </c>
      <c r="F101" s="2" t="s">
        <v>29</v>
      </c>
      <c r="G101" s="2" t="s">
        <v>6</v>
      </c>
      <c r="H101" s="43" t="s">
        <v>2</v>
      </c>
      <c r="I101" s="43" t="s">
        <v>3</v>
      </c>
      <c r="J101" s="43" t="s">
        <v>4</v>
      </c>
      <c r="K101" s="43" t="s">
        <v>9</v>
      </c>
      <c r="L101" s="43" t="s">
        <v>8</v>
      </c>
      <c r="M101" s="43" t="s">
        <v>25</v>
      </c>
      <c r="N101" s="43" t="s">
        <v>7</v>
      </c>
      <c r="O101" s="43" t="s">
        <v>89</v>
      </c>
      <c r="P101" s="25"/>
      <c r="Q101" s="12"/>
      <c r="R101" s="57"/>
      <c r="T101" s="57"/>
      <c r="U101" s="24"/>
      <c r="V101" s="24"/>
      <c r="W101" s="26"/>
      <c r="Y101" s="14"/>
    </row>
    <row r="102" spans="1:58" x14ac:dyDescent="0.3">
      <c r="B102" s="3">
        <v>2016</v>
      </c>
      <c r="C102" s="81">
        <f>IFERROR(C96/C90,"")</f>
        <v>0.15763196379495475</v>
      </c>
      <c r="D102" s="81">
        <f t="shared" ref="D102:O105" si="48">IFERROR(D96/D90,"")</f>
        <v>-1.7948878804098289E-2</v>
      </c>
      <c r="E102" s="81">
        <f t="shared" si="48"/>
        <v>0.74399713866962502</v>
      </c>
      <c r="F102" s="81">
        <f t="shared" si="48"/>
        <v>0.92246715692202663</v>
      </c>
      <c r="G102" s="81">
        <f t="shared" si="48"/>
        <v>8.5654129224076822E-2</v>
      </c>
      <c r="H102" s="23">
        <f t="shared" si="48"/>
        <v>1.681449495036777E-2</v>
      </c>
      <c r="I102" s="81">
        <f t="shared" si="48"/>
        <v>1.1829287654629211E-2</v>
      </c>
      <c r="J102" s="23">
        <f t="shared" si="48"/>
        <v>1.6801212216003624E-2</v>
      </c>
      <c r="K102" s="81" t="str">
        <f t="shared" si="48"/>
        <v/>
      </c>
      <c r="L102" s="81">
        <f t="shared" si="48"/>
        <v>0.1350774305016112</v>
      </c>
      <c r="M102" s="81" t="str">
        <f t="shared" si="48"/>
        <v/>
      </c>
      <c r="N102" s="81">
        <f t="shared" si="48"/>
        <v>0.75505074314129783</v>
      </c>
      <c r="O102" s="81" t="str">
        <f t="shared" si="48"/>
        <v/>
      </c>
      <c r="P102" s="98"/>
      <c r="Q102" s="7"/>
      <c r="R102" s="7"/>
      <c r="T102" s="8"/>
    </row>
    <row r="103" spans="1:58" x14ac:dyDescent="0.3">
      <c r="B103" s="3">
        <v>2030</v>
      </c>
      <c r="C103" s="81" t="str">
        <f t="shared" ref="C103:N105" si="49">IFERROR(C97/C91,"")</f>
        <v/>
      </c>
      <c r="D103" s="81" t="str">
        <f t="shared" si="49"/>
        <v/>
      </c>
      <c r="E103" s="81" t="str">
        <f t="shared" si="49"/>
        <v/>
      </c>
      <c r="F103" s="81" t="str">
        <f t="shared" si="49"/>
        <v/>
      </c>
      <c r="G103" s="81" t="str">
        <f t="shared" si="49"/>
        <v/>
      </c>
      <c r="H103" s="23" t="str">
        <f t="shared" si="49"/>
        <v/>
      </c>
      <c r="I103" s="81" t="str">
        <f t="shared" si="49"/>
        <v/>
      </c>
      <c r="J103" s="23" t="str">
        <f t="shared" si="49"/>
        <v/>
      </c>
      <c r="K103" s="81" t="str">
        <f t="shared" si="49"/>
        <v/>
      </c>
      <c r="L103" s="81" t="str">
        <f t="shared" si="49"/>
        <v/>
      </c>
      <c r="M103" s="81" t="str">
        <f t="shared" si="49"/>
        <v/>
      </c>
      <c r="N103" s="81" t="str">
        <f t="shared" si="49"/>
        <v/>
      </c>
      <c r="O103" s="81" t="str">
        <f t="shared" si="48"/>
        <v/>
      </c>
      <c r="P103" s="98"/>
      <c r="Q103" s="7"/>
      <c r="R103" s="7"/>
      <c r="T103" s="8"/>
    </row>
    <row r="104" spans="1:58" x14ac:dyDescent="0.3">
      <c r="B104" s="3">
        <v>2040</v>
      </c>
      <c r="C104" s="81" t="str">
        <f t="shared" si="49"/>
        <v/>
      </c>
      <c r="D104" s="81" t="str">
        <f t="shared" si="49"/>
        <v/>
      </c>
      <c r="E104" s="81" t="str">
        <f t="shared" si="49"/>
        <v/>
      </c>
      <c r="F104" s="81" t="str">
        <f t="shared" si="49"/>
        <v/>
      </c>
      <c r="G104" s="81" t="str">
        <f t="shared" si="49"/>
        <v/>
      </c>
      <c r="H104" s="23" t="str">
        <f t="shared" si="49"/>
        <v/>
      </c>
      <c r="I104" s="81" t="str">
        <f t="shared" si="49"/>
        <v/>
      </c>
      <c r="J104" s="23" t="str">
        <f t="shared" si="49"/>
        <v/>
      </c>
      <c r="K104" s="81" t="str">
        <f t="shared" si="49"/>
        <v/>
      </c>
      <c r="L104" s="81" t="str">
        <f t="shared" si="49"/>
        <v/>
      </c>
      <c r="M104" s="81" t="str">
        <f t="shared" si="49"/>
        <v/>
      </c>
      <c r="N104" s="81" t="str">
        <f t="shared" si="49"/>
        <v/>
      </c>
      <c r="O104" s="81" t="str">
        <f t="shared" si="48"/>
        <v/>
      </c>
      <c r="P104" s="98"/>
      <c r="Q104" s="7"/>
      <c r="R104" s="7"/>
      <c r="T104" s="8"/>
    </row>
    <row r="105" spans="1:58" x14ac:dyDescent="0.3">
      <c r="B105" s="3">
        <v>2050</v>
      </c>
      <c r="C105" s="81" t="str">
        <f t="shared" si="49"/>
        <v/>
      </c>
      <c r="D105" s="81" t="str">
        <f t="shared" si="49"/>
        <v/>
      </c>
      <c r="E105" s="81" t="str">
        <f t="shared" si="49"/>
        <v/>
      </c>
      <c r="F105" s="81" t="str">
        <f t="shared" si="49"/>
        <v/>
      </c>
      <c r="G105" s="81" t="str">
        <f t="shared" si="49"/>
        <v/>
      </c>
      <c r="H105" s="23" t="str">
        <f t="shared" si="49"/>
        <v/>
      </c>
      <c r="I105" s="81" t="str">
        <f t="shared" si="49"/>
        <v/>
      </c>
      <c r="J105" s="23" t="str">
        <f t="shared" si="49"/>
        <v/>
      </c>
      <c r="K105" s="81" t="str">
        <f t="shared" si="49"/>
        <v/>
      </c>
      <c r="L105" s="81" t="str">
        <f t="shared" si="49"/>
        <v/>
      </c>
      <c r="M105" s="81" t="str">
        <f t="shared" si="49"/>
        <v/>
      </c>
      <c r="N105" s="81" t="str">
        <f t="shared" si="49"/>
        <v/>
      </c>
      <c r="O105" s="81" t="str">
        <f t="shared" si="48"/>
        <v/>
      </c>
      <c r="P105" s="98"/>
      <c r="Q105" s="7"/>
      <c r="R105" s="7"/>
      <c r="T105" s="8"/>
    </row>
    <row r="106" spans="1:58" x14ac:dyDescent="0.3"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</row>
    <row r="107" spans="1:58" s="9" customFormat="1" ht="21" x14ac:dyDescent="0.4">
      <c r="B107" s="10" t="s">
        <v>17</v>
      </c>
    </row>
    <row r="108" spans="1:58" s="32" customFormat="1" ht="21" x14ac:dyDescent="0.4">
      <c r="B108" s="31"/>
      <c r="P108" s="58"/>
    </row>
    <row r="109" spans="1:58" ht="28.8" x14ac:dyDescent="0.3">
      <c r="B109" s="43" t="s">
        <v>40</v>
      </c>
      <c r="C109" s="43" t="s">
        <v>0</v>
      </c>
      <c r="D109" s="43" t="s">
        <v>1</v>
      </c>
      <c r="E109" s="43" t="s">
        <v>28</v>
      </c>
      <c r="F109" s="2" t="s">
        <v>29</v>
      </c>
      <c r="G109" s="2" t="s">
        <v>6</v>
      </c>
      <c r="H109" s="43" t="s">
        <v>2</v>
      </c>
      <c r="I109" s="43" t="s">
        <v>3</v>
      </c>
      <c r="J109" s="43" t="s">
        <v>4</v>
      </c>
      <c r="K109" s="43" t="s">
        <v>9</v>
      </c>
      <c r="L109" s="43" t="s">
        <v>8</v>
      </c>
      <c r="M109" s="43" t="s">
        <v>25</v>
      </c>
      <c r="N109" s="43" t="s">
        <v>7</v>
      </c>
      <c r="O109" s="43" t="s">
        <v>89</v>
      </c>
      <c r="P109" s="25"/>
      <c r="Q109" s="43" t="s">
        <v>5</v>
      </c>
      <c r="R109" s="43" t="s">
        <v>91</v>
      </c>
      <c r="T109" s="43" t="s">
        <v>10</v>
      </c>
    </row>
    <row r="110" spans="1:58" x14ac:dyDescent="0.3">
      <c r="B110" s="3">
        <v>2016</v>
      </c>
      <c r="C110" s="51">
        <f>Inputs_Summary!E$5*C34/1000000</f>
        <v>210.12155916232655</v>
      </c>
      <c r="D110" s="51">
        <f>Inputs_Summary!F$5*D34/1000000</f>
        <v>0</v>
      </c>
      <c r="E110" s="51">
        <f>Inputs_Summary!G$5*E34/1000000</f>
        <v>0.27748016944768411</v>
      </c>
      <c r="F110" s="51">
        <f>Inputs_Summary!H$5*F34/1000000</f>
        <v>1.1619560473070238</v>
      </c>
      <c r="G110" s="51">
        <f>Inputs_Summary!I$5*G34/1000000</f>
        <v>0</v>
      </c>
      <c r="H110" s="51">
        <f>Inputs_Summary!J$5*H34/1000000</f>
        <v>0</v>
      </c>
      <c r="I110" s="51">
        <f>Inputs_Summary!K$5*I34/1000000</f>
        <v>0</v>
      </c>
      <c r="J110" s="51">
        <f>Inputs_Summary!L$5*J34/1000000</f>
        <v>0</v>
      </c>
      <c r="K110" s="51">
        <f>Inputs_Summary!M$5*K34/1000000</f>
        <v>0</v>
      </c>
      <c r="L110" s="51">
        <f>Inputs_Summary!N$5*L34/1000000</f>
        <v>0</v>
      </c>
      <c r="M110" s="51">
        <f>Inputs_Summary!O$5*M34/1000000</f>
        <v>0</v>
      </c>
      <c r="N110" s="51">
        <f>Inputs_Summary!P$5*N34/1000000</f>
        <v>5.9887859519957903E-4</v>
      </c>
      <c r="O110" s="51">
        <f>Inputs_Summary!R$5*O34/1000000</f>
        <v>0</v>
      </c>
      <c r="P110" s="97"/>
      <c r="Q110" s="39">
        <f>G110+N110</f>
        <v>5.9887859519957903E-4</v>
      </c>
      <c r="R110" s="5">
        <f>SUM(K110:L110)</f>
        <v>0</v>
      </c>
      <c r="T110" s="5">
        <f>SUM(C110:O110)</f>
        <v>211.56159425767646</v>
      </c>
    </row>
    <row r="111" spans="1:58" x14ac:dyDescent="0.3">
      <c r="B111" s="3">
        <v>2030</v>
      </c>
      <c r="C111" s="51">
        <f>Inputs_Summary!E$5*C35/1000000</f>
        <v>135.16760142544268</v>
      </c>
      <c r="D111" s="51">
        <f>Inputs_Summary!F$5*D35/1000000</f>
        <v>0</v>
      </c>
      <c r="E111" s="51">
        <f>Inputs_Summary!G$5*E35/1000000</f>
        <v>0.81716406059894409</v>
      </c>
      <c r="F111" s="51">
        <f>Inputs_Summary!H$5*F35/1000000</f>
        <v>0.12938788800655357</v>
      </c>
      <c r="G111" s="51">
        <f>Inputs_Summary!I$5*G35/1000000</f>
        <v>0</v>
      </c>
      <c r="H111" s="51">
        <f>Inputs_Summary!J$5*H35/1000000</f>
        <v>0</v>
      </c>
      <c r="I111" s="51">
        <f>Inputs_Summary!K$5*I35/1000000</f>
        <v>0</v>
      </c>
      <c r="J111" s="51">
        <f>Inputs_Summary!L$5*J35/1000000</f>
        <v>0</v>
      </c>
      <c r="K111" s="51">
        <f>Inputs_Summary!M$5*K35/1000000</f>
        <v>0</v>
      </c>
      <c r="L111" s="51">
        <f>Inputs_Summary!N$5*L35/1000000</f>
        <v>0</v>
      </c>
      <c r="M111" s="51">
        <f>Inputs_Summary!O$5*M35/1000000</f>
        <v>0</v>
      </c>
      <c r="N111" s="51">
        <f>Inputs_Summary!P$5*N35/1000000</f>
        <v>5.2651101099675962E-4</v>
      </c>
      <c r="O111" s="51">
        <f>Inputs_Summary!R$5*O35/1000000</f>
        <v>0</v>
      </c>
      <c r="P111" s="97"/>
      <c r="Q111" s="39">
        <f>G111+N111</f>
        <v>5.2651101099675962E-4</v>
      </c>
      <c r="R111" s="5">
        <f>SUM(K111:L111)</f>
        <v>0</v>
      </c>
      <c r="T111" s="5">
        <f t="shared" ref="T111:T113" si="50">SUM(C111:O111)</f>
        <v>136.11467988505919</v>
      </c>
    </row>
    <row r="112" spans="1:58" x14ac:dyDescent="0.3">
      <c r="B112" s="3">
        <v>2040</v>
      </c>
      <c r="C112" s="51">
        <f>Inputs_Summary!E$5*C36/1000000</f>
        <v>37.644991280821905</v>
      </c>
      <c r="D112" s="51">
        <f>Inputs_Summary!F$5*D36/1000000</f>
        <v>0</v>
      </c>
      <c r="E112" s="51">
        <f>Inputs_Summary!G$5*E36/1000000</f>
        <v>0.82225401873744886</v>
      </c>
      <c r="F112" s="51">
        <f>Inputs_Summary!H$5*F36/1000000</f>
        <v>4.438569124457302E-2</v>
      </c>
      <c r="G112" s="51">
        <f>Inputs_Summary!I$5*G36/1000000</f>
        <v>0</v>
      </c>
      <c r="H112" s="51">
        <f>Inputs_Summary!J$5*H36/1000000</f>
        <v>0</v>
      </c>
      <c r="I112" s="51">
        <f>Inputs_Summary!K$5*I36/1000000</f>
        <v>0</v>
      </c>
      <c r="J112" s="51">
        <f>Inputs_Summary!L$5*J36/1000000</f>
        <v>0</v>
      </c>
      <c r="K112" s="51">
        <f>Inputs_Summary!M$5*K36/1000000</f>
        <v>0</v>
      </c>
      <c r="L112" s="51">
        <f>Inputs_Summary!N$5*L36/1000000</f>
        <v>0</v>
      </c>
      <c r="M112" s="51">
        <f>Inputs_Summary!O$5*M36/1000000</f>
        <v>0</v>
      </c>
      <c r="N112" s="51">
        <f>Inputs_Summary!P$5*N36/1000000</f>
        <v>5.8266387755331157E-4</v>
      </c>
      <c r="O112" s="51">
        <f>Inputs_Summary!R$5*O36/1000000</f>
        <v>0</v>
      </c>
      <c r="P112" s="97"/>
      <c r="Q112" s="39">
        <f>G112+N112</f>
        <v>5.8266387755331157E-4</v>
      </c>
      <c r="R112" s="5">
        <f>SUM(K112:L112)</f>
        <v>0</v>
      </c>
      <c r="T112" s="5">
        <f t="shared" si="50"/>
        <v>38.512213654681474</v>
      </c>
    </row>
    <row r="113" spans="2:20" x14ac:dyDescent="0.3">
      <c r="B113" s="3">
        <v>2050</v>
      </c>
      <c r="C113" s="51">
        <f>Inputs_Summary!E$5*C37/1000000</f>
        <v>0</v>
      </c>
      <c r="D113" s="51">
        <f>Inputs_Summary!F$5*D37/1000000</f>
        <v>0</v>
      </c>
      <c r="E113" s="51">
        <f>Inputs_Summary!G$5*E37/1000000</f>
        <v>0.8287829640431531</v>
      </c>
      <c r="F113" s="51">
        <f>Inputs_Summary!H$5*F37/1000000</f>
        <v>0</v>
      </c>
      <c r="G113" s="51">
        <f>Inputs_Summary!I$5*G37/1000000</f>
        <v>0</v>
      </c>
      <c r="H113" s="51">
        <f>Inputs_Summary!J$5*H37/1000000</f>
        <v>0</v>
      </c>
      <c r="I113" s="51">
        <f>Inputs_Summary!K$5*I37/1000000</f>
        <v>0</v>
      </c>
      <c r="J113" s="51">
        <f>Inputs_Summary!L$5*J37/1000000</f>
        <v>0</v>
      </c>
      <c r="K113" s="51">
        <f>Inputs_Summary!M$5*K37/1000000</f>
        <v>0</v>
      </c>
      <c r="L113" s="51">
        <f>Inputs_Summary!N$5*L37/1000000</f>
        <v>0</v>
      </c>
      <c r="M113" s="51">
        <f>Inputs_Summary!O$5*M37/1000000</f>
        <v>0</v>
      </c>
      <c r="N113" s="51">
        <f>Inputs_Summary!P$5*N37/1000000</f>
        <v>5.7723634895223252E-4</v>
      </c>
      <c r="O113" s="51">
        <f>Inputs_Summary!R$5*O37/1000000</f>
        <v>0</v>
      </c>
      <c r="P113" s="97"/>
      <c r="Q113" s="39">
        <f>G113+N113</f>
        <v>5.7723634895223252E-4</v>
      </c>
      <c r="R113" s="5">
        <f>SUM(K113:L113)</f>
        <v>0</v>
      </c>
      <c r="T113" s="5">
        <f t="shared" si="50"/>
        <v>0.82936020039210534</v>
      </c>
    </row>
    <row r="114" spans="2:20" x14ac:dyDescent="0.3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28"/>
      <c r="Q114" s="5"/>
      <c r="R114" s="5"/>
      <c r="S114" s="5"/>
      <c r="T114" s="5"/>
    </row>
    <row r="115" spans="2:20" ht="28.8" x14ac:dyDescent="0.3">
      <c r="B115" s="43" t="s">
        <v>41</v>
      </c>
      <c r="C115" s="43" t="s">
        <v>0</v>
      </c>
      <c r="D115" s="43" t="s">
        <v>1</v>
      </c>
      <c r="E115" s="43" t="s">
        <v>28</v>
      </c>
      <c r="F115" s="2" t="s">
        <v>29</v>
      </c>
      <c r="G115" s="2" t="s">
        <v>6</v>
      </c>
      <c r="H115" s="43" t="s">
        <v>2</v>
      </c>
      <c r="I115" s="43" t="s">
        <v>3</v>
      </c>
      <c r="J115" s="43" t="s">
        <v>4</v>
      </c>
      <c r="K115" s="43" t="s">
        <v>9</v>
      </c>
      <c r="L115" s="43" t="s">
        <v>8</v>
      </c>
      <c r="M115" s="43" t="s">
        <v>25</v>
      </c>
      <c r="N115" s="43" t="s">
        <v>7</v>
      </c>
      <c r="O115" s="43" t="s">
        <v>89</v>
      </c>
      <c r="P115" s="25"/>
      <c r="Q115" s="43" t="s">
        <v>5</v>
      </c>
      <c r="R115" s="43" t="s">
        <v>91</v>
      </c>
      <c r="T115" s="43" t="s">
        <v>10</v>
      </c>
    </row>
    <row r="116" spans="2:20" x14ac:dyDescent="0.3">
      <c r="B116" s="3">
        <v>2016</v>
      </c>
      <c r="C116" s="51">
        <f>Inputs_Summary!E$8*C40/1000000</f>
        <v>5.0120134326513615</v>
      </c>
      <c r="D116" s="51">
        <f>Inputs_Summary!F$8*D40/1000000</f>
        <v>0</v>
      </c>
      <c r="E116" s="51">
        <f>Inputs_Summary!G$8*E40/1000000</f>
        <v>0</v>
      </c>
      <c r="F116" s="51">
        <f>Inputs_Summary!H$8*F40/1000000</f>
        <v>0</v>
      </c>
      <c r="G116" s="51">
        <f>Inputs_Summary!I$8*G40/1000000</f>
        <v>0</v>
      </c>
      <c r="H116" s="51">
        <f>Inputs_Summary!J$8*H40/1000000</f>
        <v>0</v>
      </c>
      <c r="I116" s="51">
        <f>Inputs_Summary!K$8*I40/1000000</f>
        <v>0</v>
      </c>
      <c r="J116" s="51">
        <f>Inputs_Summary!L$8*J40/1000000</f>
        <v>0</v>
      </c>
      <c r="K116" s="51">
        <f>Inputs_Summary!M$8*K40/1000000</f>
        <v>0</v>
      </c>
      <c r="L116" s="51">
        <f>Inputs_Summary!N$8*L40/1000000</f>
        <v>0</v>
      </c>
      <c r="M116" s="51">
        <f>Inputs_Summary!O$8*M40/1000000</f>
        <v>0</v>
      </c>
      <c r="N116" s="51">
        <f>Inputs_Summary!P$8*N40/1000000</f>
        <v>0</v>
      </c>
      <c r="O116" s="51">
        <f>Inputs_Summary!R$8*O40/1000000</f>
        <v>0</v>
      </c>
      <c r="P116" s="97"/>
      <c r="Q116" s="39">
        <f>G116+N116</f>
        <v>0</v>
      </c>
      <c r="R116" s="5">
        <f>SUM(K116:L116)</f>
        <v>0</v>
      </c>
      <c r="T116" s="5">
        <f>SUM(C116:O116)</f>
        <v>5.0120134326513615</v>
      </c>
    </row>
    <row r="117" spans="2:20" x14ac:dyDescent="0.3">
      <c r="B117" s="3">
        <v>2030</v>
      </c>
      <c r="C117" s="51">
        <f>Inputs_Summary!E$8*C41/1000000</f>
        <v>64.767467611811256</v>
      </c>
      <c r="D117" s="51">
        <f>Inputs_Summary!F$8*D41/1000000</f>
        <v>0</v>
      </c>
      <c r="E117" s="51">
        <f>Inputs_Summary!G$8*E41/1000000</f>
        <v>0</v>
      </c>
      <c r="F117" s="51">
        <f>Inputs_Summary!H$8*F41/1000000</f>
        <v>0</v>
      </c>
      <c r="G117" s="51">
        <f>Inputs_Summary!I$8*G41/1000000</f>
        <v>0</v>
      </c>
      <c r="H117" s="51">
        <f>Inputs_Summary!J$8*H41/1000000</f>
        <v>0</v>
      </c>
      <c r="I117" s="51">
        <f>Inputs_Summary!K$8*I41/1000000</f>
        <v>0</v>
      </c>
      <c r="J117" s="51">
        <f>Inputs_Summary!L$8*J41/1000000</f>
        <v>0</v>
      </c>
      <c r="K117" s="51">
        <f>Inputs_Summary!M$8*K41/1000000</f>
        <v>0</v>
      </c>
      <c r="L117" s="51">
        <f>Inputs_Summary!N$8*L41/1000000</f>
        <v>0</v>
      </c>
      <c r="M117" s="51">
        <f>Inputs_Summary!O$8*M41/1000000</f>
        <v>0</v>
      </c>
      <c r="N117" s="51">
        <f>Inputs_Summary!P$8*N41/1000000</f>
        <v>5.9872522947519941E-4</v>
      </c>
      <c r="O117" s="51">
        <f>Inputs_Summary!R$8*O41/1000000</f>
        <v>0</v>
      </c>
      <c r="P117" s="97"/>
      <c r="Q117" s="39">
        <f>G117+N117</f>
        <v>5.9872522947519941E-4</v>
      </c>
      <c r="R117" s="5">
        <f>SUM(K117:L117)</f>
        <v>0</v>
      </c>
      <c r="T117" s="5">
        <f t="shared" ref="T117:T119" si="51">SUM(C117:O117)</f>
        <v>64.768066337040736</v>
      </c>
    </row>
    <row r="118" spans="2:20" x14ac:dyDescent="0.3">
      <c r="B118" s="3">
        <v>2040</v>
      </c>
      <c r="C118" s="51">
        <f>Inputs_Summary!E$8*C42/1000000</f>
        <v>61.28183753088436</v>
      </c>
      <c r="D118" s="51">
        <f>Inputs_Summary!F$8*D42/1000000</f>
        <v>0</v>
      </c>
      <c r="E118" s="51">
        <f>Inputs_Summary!G$8*E42/1000000</f>
        <v>0</v>
      </c>
      <c r="F118" s="51">
        <f>Inputs_Summary!H$8*F42/1000000</f>
        <v>0</v>
      </c>
      <c r="G118" s="51">
        <f>Inputs_Summary!I$8*G42/1000000</f>
        <v>0</v>
      </c>
      <c r="H118" s="51">
        <f>Inputs_Summary!J$8*H42/1000000</f>
        <v>0</v>
      </c>
      <c r="I118" s="51">
        <f>Inputs_Summary!K$8*I42/1000000</f>
        <v>0</v>
      </c>
      <c r="J118" s="51">
        <f>Inputs_Summary!L$8*J42/1000000</f>
        <v>0</v>
      </c>
      <c r="K118" s="51">
        <f>Inputs_Summary!M$8*K42/1000000</f>
        <v>0</v>
      </c>
      <c r="L118" s="51">
        <f>Inputs_Summary!N$8*L42/1000000</f>
        <v>0</v>
      </c>
      <c r="M118" s="51">
        <f>Inputs_Summary!O$8*M42/1000000</f>
        <v>0</v>
      </c>
      <c r="N118" s="51">
        <f>Inputs_Summary!P$8*N42/1000000</f>
        <v>6.2544478273044205E-4</v>
      </c>
      <c r="O118" s="51">
        <f>Inputs_Summary!R$8*O42/1000000</f>
        <v>0</v>
      </c>
      <c r="P118" s="97"/>
      <c r="Q118" s="39">
        <f>G118+N118</f>
        <v>6.2544478273044205E-4</v>
      </c>
      <c r="R118" s="5">
        <f>SUM(K118:L118)</f>
        <v>0</v>
      </c>
      <c r="T118" s="5">
        <f t="shared" si="51"/>
        <v>61.282462975667087</v>
      </c>
    </row>
    <row r="119" spans="2:20" x14ac:dyDescent="0.3">
      <c r="B119" s="3">
        <v>2050</v>
      </c>
      <c r="C119" s="51">
        <f>Inputs_Summary!E$8*C43/1000000</f>
        <v>58.704462504037437</v>
      </c>
      <c r="D119" s="51">
        <f>Inputs_Summary!F$8*D43/1000000</f>
        <v>0</v>
      </c>
      <c r="E119" s="51">
        <f>Inputs_Summary!G$8*E43/1000000</f>
        <v>0</v>
      </c>
      <c r="F119" s="51">
        <f>Inputs_Summary!H$8*F43/1000000</f>
        <v>0</v>
      </c>
      <c r="G119" s="51">
        <f>Inputs_Summary!I$8*G43/1000000</f>
        <v>0</v>
      </c>
      <c r="H119" s="51">
        <f>Inputs_Summary!J$8*H43/1000000</f>
        <v>0</v>
      </c>
      <c r="I119" s="51">
        <f>Inputs_Summary!K$8*I43/1000000</f>
        <v>0</v>
      </c>
      <c r="J119" s="51">
        <f>Inputs_Summary!L$8*J43/1000000</f>
        <v>0</v>
      </c>
      <c r="K119" s="51">
        <f>Inputs_Summary!M$8*K43/1000000</f>
        <v>0</v>
      </c>
      <c r="L119" s="51">
        <f>Inputs_Summary!N$8*L43/1000000</f>
        <v>0</v>
      </c>
      <c r="M119" s="51">
        <f>Inputs_Summary!O$8*M43/1000000</f>
        <v>0</v>
      </c>
      <c r="N119" s="51">
        <f>Inputs_Summary!P$8*N43/1000000</f>
        <v>6.3320954922087302E-4</v>
      </c>
      <c r="O119" s="51">
        <f>Inputs_Summary!R$8*O43/1000000</f>
        <v>0</v>
      </c>
      <c r="P119" s="97"/>
      <c r="Q119" s="39">
        <f>G119+N119</f>
        <v>6.3320954922087302E-4</v>
      </c>
      <c r="R119" s="5">
        <f>SUM(K119:L119)</f>
        <v>0</v>
      </c>
      <c r="T119" s="5">
        <f t="shared" si="51"/>
        <v>58.705095713586658</v>
      </c>
    </row>
    <row r="120" spans="2:20" x14ac:dyDescent="0.3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28"/>
      <c r="Q120" s="5"/>
      <c r="R120" s="5"/>
      <c r="S120" s="5"/>
      <c r="T120" s="5"/>
    </row>
    <row r="121" spans="2:20" ht="28.8" x14ac:dyDescent="0.3">
      <c r="B121" s="43" t="s">
        <v>42</v>
      </c>
      <c r="C121" s="43" t="s">
        <v>0</v>
      </c>
      <c r="D121" s="43" t="s">
        <v>1</v>
      </c>
      <c r="E121" s="43" t="s">
        <v>28</v>
      </c>
      <c r="F121" s="2" t="s">
        <v>29</v>
      </c>
      <c r="G121" s="2" t="s">
        <v>6</v>
      </c>
      <c r="H121" s="43" t="s">
        <v>2</v>
      </c>
      <c r="I121" s="43" t="s">
        <v>3</v>
      </c>
      <c r="J121" s="43" t="s">
        <v>4</v>
      </c>
      <c r="K121" s="43" t="s">
        <v>9</v>
      </c>
      <c r="L121" s="43" t="s">
        <v>8</v>
      </c>
      <c r="M121" s="43" t="s">
        <v>25</v>
      </c>
      <c r="N121" s="43" t="s">
        <v>7</v>
      </c>
      <c r="O121" s="43" t="s">
        <v>89</v>
      </c>
      <c r="P121" s="25"/>
      <c r="Q121" s="43" t="s">
        <v>5</v>
      </c>
      <c r="R121" s="43" t="s">
        <v>91</v>
      </c>
      <c r="T121" s="43" t="s">
        <v>10</v>
      </c>
    </row>
    <row r="122" spans="2:20" x14ac:dyDescent="0.3">
      <c r="B122" s="3">
        <v>2016</v>
      </c>
      <c r="C122" s="51">
        <f>Inputs_Summary!E$11*C46/1000000</f>
        <v>0</v>
      </c>
      <c r="D122" s="51">
        <f>Inputs_Summary!F$11*D46/1000000</f>
        <v>0</v>
      </c>
      <c r="E122" s="51">
        <f>Inputs_Summary!G$11*E46/1000000</f>
        <v>0</v>
      </c>
      <c r="F122" s="51">
        <f>Inputs_Summary!H$11*F46/1000000</f>
        <v>0</v>
      </c>
      <c r="G122" s="51">
        <f>Inputs_Summary!I$11*G46/1000000</f>
        <v>0</v>
      </c>
      <c r="H122" s="51">
        <f>Inputs_Summary!J$11*H46/1000000</f>
        <v>0</v>
      </c>
      <c r="I122" s="51">
        <f>Inputs_Summary!K$11*I46/1000000</f>
        <v>0</v>
      </c>
      <c r="J122" s="51">
        <f>Inputs_Summary!L$11*J46/1000000</f>
        <v>0</v>
      </c>
      <c r="K122" s="51">
        <f>Inputs_Summary!M$11*K46/1000000</f>
        <v>0</v>
      </c>
      <c r="L122" s="51">
        <f>Inputs_Summary!N$11*L46/1000000</f>
        <v>0</v>
      </c>
      <c r="M122" s="51">
        <f>Inputs_Summary!O$11*M46/1000000</f>
        <v>0</v>
      </c>
      <c r="N122" s="51">
        <f>Inputs_Summary!P$11*N46/1000000</f>
        <v>0</v>
      </c>
      <c r="O122" s="51">
        <f>Inputs_Summary!R$11*O46/1000000</f>
        <v>0</v>
      </c>
      <c r="P122" s="97"/>
      <c r="Q122" s="39">
        <f>G122+N122</f>
        <v>0</v>
      </c>
      <c r="R122" s="5">
        <f>SUM(K122:L122)</f>
        <v>0</v>
      </c>
      <c r="T122" s="5">
        <f>SUM(C122:O122)</f>
        <v>0</v>
      </c>
    </row>
    <row r="123" spans="2:20" x14ac:dyDescent="0.3">
      <c r="B123" s="3">
        <v>2030</v>
      </c>
      <c r="C123" s="51">
        <f>Inputs_Summary!E$11*C47/1000000</f>
        <v>0</v>
      </c>
      <c r="D123" s="51">
        <f>Inputs_Summary!F$11*D47/1000000</f>
        <v>0</v>
      </c>
      <c r="E123" s="51">
        <f>Inputs_Summary!G$11*E47/1000000</f>
        <v>0.61839442423703883</v>
      </c>
      <c r="F123" s="51">
        <f>Inputs_Summary!H$11*F47/1000000</f>
        <v>2.0889411059157608</v>
      </c>
      <c r="G123" s="51">
        <f>Inputs_Summary!I$11*G47/1000000</f>
        <v>0</v>
      </c>
      <c r="H123" s="51">
        <f>Inputs_Summary!J$11*H47/1000000</f>
        <v>0</v>
      </c>
      <c r="I123" s="51">
        <f>Inputs_Summary!K$11*I47/1000000</f>
        <v>0</v>
      </c>
      <c r="J123" s="51">
        <f>Inputs_Summary!L$11*J47/1000000</f>
        <v>0</v>
      </c>
      <c r="K123" s="51">
        <f>Inputs_Summary!M$11*K47/1000000</f>
        <v>0</v>
      </c>
      <c r="L123" s="51">
        <f>Inputs_Summary!N$11*L47/1000000</f>
        <v>0</v>
      </c>
      <c r="M123" s="51">
        <f>Inputs_Summary!O$11*M47/1000000</f>
        <v>0</v>
      </c>
      <c r="N123" s="51">
        <f>Inputs_Summary!P$11*N47/1000000</f>
        <v>0</v>
      </c>
      <c r="O123" s="51">
        <f>Inputs_Summary!R$11*O47/1000000</f>
        <v>0</v>
      </c>
      <c r="P123" s="97"/>
      <c r="Q123" s="39">
        <f>G123+N123</f>
        <v>0</v>
      </c>
      <c r="R123" s="5">
        <f>SUM(K123:L123)</f>
        <v>0</v>
      </c>
      <c r="T123" s="5">
        <f t="shared" ref="T123:T125" si="52">SUM(C123:O123)</f>
        <v>2.7073355301527995</v>
      </c>
    </row>
    <row r="124" spans="2:20" x14ac:dyDescent="0.3">
      <c r="B124" s="3">
        <v>2040</v>
      </c>
      <c r="C124" s="51">
        <f>Inputs_Summary!E$11*C48/1000000</f>
        <v>0</v>
      </c>
      <c r="D124" s="51">
        <f>Inputs_Summary!F$11*D48/1000000</f>
        <v>0</v>
      </c>
      <c r="E124" s="51">
        <f>Inputs_Summary!G$11*E48/1000000</f>
        <v>5.4999985305329213</v>
      </c>
      <c r="F124" s="51">
        <f>Inputs_Summary!H$11*F48/1000000</f>
        <v>4.3786196193996965</v>
      </c>
      <c r="G124" s="51">
        <f>Inputs_Summary!I$11*G48/1000000</f>
        <v>0</v>
      </c>
      <c r="H124" s="51">
        <f>Inputs_Summary!J$11*H48/1000000</f>
        <v>0</v>
      </c>
      <c r="I124" s="51">
        <f>Inputs_Summary!K$11*I48/1000000</f>
        <v>0</v>
      </c>
      <c r="J124" s="51">
        <f>Inputs_Summary!L$11*J48/1000000</f>
        <v>0</v>
      </c>
      <c r="K124" s="51">
        <f>Inputs_Summary!M$11*K48/1000000</f>
        <v>0</v>
      </c>
      <c r="L124" s="51">
        <f>Inputs_Summary!N$11*L48/1000000</f>
        <v>0</v>
      </c>
      <c r="M124" s="51">
        <f>Inputs_Summary!O$11*M48/1000000</f>
        <v>0</v>
      </c>
      <c r="N124" s="51">
        <f>Inputs_Summary!P$11*N48/1000000</f>
        <v>0</v>
      </c>
      <c r="O124" s="51">
        <f>Inputs_Summary!R$11*O48/1000000</f>
        <v>0</v>
      </c>
      <c r="P124" s="97"/>
      <c r="Q124" s="39">
        <f>G124+N124</f>
        <v>0</v>
      </c>
      <c r="R124" s="5">
        <f>SUM(K124:L124)</f>
        <v>0</v>
      </c>
      <c r="T124" s="5">
        <f t="shared" si="52"/>
        <v>9.8786181499326169</v>
      </c>
    </row>
    <row r="125" spans="2:20" x14ac:dyDescent="0.3">
      <c r="B125" s="3">
        <v>2050</v>
      </c>
      <c r="C125" s="51">
        <f>Inputs_Summary!E$11*C49/1000000</f>
        <v>0</v>
      </c>
      <c r="D125" s="51">
        <f>Inputs_Summary!F$11*D49/1000000</f>
        <v>0</v>
      </c>
      <c r="E125" s="51">
        <f>Inputs_Summary!G$11*E49/1000000</f>
        <v>12.089997542170739</v>
      </c>
      <c r="F125" s="51">
        <f>Inputs_Summary!H$11*F49/1000000</f>
        <v>5.68676520089332</v>
      </c>
      <c r="G125" s="51">
        <f>Inputs_Summary!I$11*G49/1000000</f>
        <v>0</v>
      </c>
      <c r="H125" s="51">
        <f>Inputs_Summary!J$11*H49/1000000</f>
        <v>0</v>
      </c>
      <c r="I125" s="51">
        <f>Inputs_Summary!K$11*I49/1000000</f>
        <v>0</v>
      </c>
      <c r="J125" s="51">
        <f>Inputs_Summary!L$11*J49/1000000</f>
        <v>0</v>
      </c>
      <c r="K125" s="51">
        <f>Inputs_Summary!M$11*K49/1000000</f>
        <v>0</v>
      </c>
      <c r="L125" s="51">
        <f>Inputs_Summary!N$11*L49/1000000</f>
        <v>0</v>
      </c>
      <c r="M125" s="51">
        <f>Inputs_Summary!O$11*M49/1000000</f>
        <v>0</v>
      </c>
      <c r="N125" s="51">
        <f>Inputs_Summary!P$11*N49/1000000</f>
        <v>0</v>
      </c>
      <c r="O125" s="51">
        <f>Inputs_Summary!R$11*O49/1000000</f>
        <v>0</v>
      </c>
      <c r="P125" s="97"/>
      <c r="Q125" s="39">
        <f>G125+N125</f>
        <v>0</v>
      </c>
      <c r="R125" s="5">
        <f>SUM(K125:L125)</f>
        <v>0</v>
      </c>
      <c r="T125" s="5">
        <f t="shared" si="52"/>
        <v>17.776762743064058</v>
      </c>
    </row>
    <row r="126" spans="2:20" x14ac:dyDescent="0.3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28"/>
    </row>
    <row r="127" spans="2:20" ht="28.8" x14ac:dyDescent="0.3">
      <c r="B127" s="43" t="s">
        <v>24</v>
      </c>
      <c r="C127" s="43" t="s">
        <v>0</v>
      </c>
      <c r="D127" s="43" t="s">
        <v>1</v>
      </c>
      <c r="E127" s="43" t="s">
        <v>28</v>
      </c>
      <c r="F127" s="2" t="s">
        <v>29</v>
      </c>
      <c r="G127" s="2" t="s">
        <v>6</v>
      </c>
      <c r="H127" s="43" t="s">
        <v>2</v>
      </c>
      <c r="I127" s="43" t="s">
        <v>3</v>
      </c>
      <c r="J127" s="43" t="s">
        <v>4</v>
      </c>
      <c r="K127" s="43" t="s">
        <v>9</v>
      </c>
      <c r="L127" s="43" t="s">
        <v>8</v>
      </c>
      <c r="M127" s="43" t="s">
        <v>25</v>
      </c>
      <c r="N127" s="43" t="s">
        <v>7</v>
      </c>
      <c r="O127" s="43" t="s">
        <v>89</v>
      </c>
      <c r="P127" s="25"/>
      <c r="Q127" s="43" t="s">
        <v>5</v>
      </c>
      <c r="R127" s="43" t="s">
        <v>91</v>
      </c>
      <c r="T127" s="43" t="s">
        <v>10</v>
      </c>
    </row>
    <row r="128" spans="2:20" x14ac:dyDescent="0.3">
      <c r="B128" s="3">
        <v>2016</v>
      </c>
      <c r="C128" s="51">
        <f t="shared" ref="C128:O131" si="53">C110+C116+C122</f>
        <v>215.13357259497792</v>
      </c>
      <c r="D128" s="51">
        <f t="shared" si="53"/>
        <v>0</v>
      </c>
      <c r="E128" s="51">
        <f t="shared" si="53"/>
        <v>0.27748016944768411</v>
      </c>
      <c r="F128" s="51">
        <f t="shared" si="53"/>
        <v>1.1619560473070238</v>
      </c>
      <c r="G128" s="51">
        <f t="shared" si="53"/>
        <v>0</v>
      </c>
      <c r="H128" s="51">
        <f t="shared" si="53"/>
        <v>0</v>
      </c>
      <c r="I128" s="51">
        <f t="shared" si="53"/>
        <v>0</v>
      </c>
      <c r="J128" s="51">
        <f t="shared" si="53"/>
        <v>0</v>
      </c>
      <c r="K128" s="51">
        <f t="shared" si="53"/>
        <v>0</v>
      </c>
      <c r="L128" s="51">
        <f t="shared" si="53"/>
        <v>0</v>
      </c>
      <c r="M128" s="51">
        <f t="shared" si="53"/>
        <v>0</v>
      </c>
      <c r="N128" s="51">
        <f t="shared" si="53"/>
        <v>5.9887859519957903E-4</v>
      </c>
      <c r="O128" s="51">
        <f t="shared" si="53"/>
        <v>0</v>
      </c>
      <c r="P128" s="97"/>
      <c r="Q128" s="39">
        <f>G128+N128</f>
        <v>5.9887859519957903E-4</v>
      </c>
      <c r="R128" s="5">
        <f>SUM(K128:L128)</f>
        <v>0</v>
      </c>
      <c r="T128" s="5">
        <f>SUM(C128:O128)</f>
        <v>216.57360769032783</v>
      </c>
    </row>
    <row r="129" spans="2:20" x14ac:dyDescent="0.3">
      <c r="B129" s="3">
        <v>2030</v>
      </c>
      <c r="C129" s="51">
        <f t="shared" ref="C129:N129" si="54">C111+C117+C123</f>
        <v>199.93506903725392</v>
      </c>
      <c r="D129" s="51">
        <f t="shared" si="54"/>
        <v>0</v>
      </c>
      <c r="E129" s="51">
        <f t="shared" si="54"/>
        <v>1.4355584848359828</v>
      </c>
      <c r="F129" s="51">
        <f t="shared" si="54"/>
        <v>2.2183289939223143</v>
      </c>
      <c r="G129" s="51">
        <f t="shared" si="54"/>
        <v>0</v>
      </c>
      <c r="H129" s="51">
        <f t="shared" si="54"/>
        <v>0</v>
      </c>
      <c r="I129" s="51">
        <f t="shared" si="54"/>
        <v>0</v>
      </c>
      <c r="J129" s="51">
        <f t="shared" si="54"/>
        <v>0</v>
      </c>
      <c r="K129" s="51">
        <f t="shared" si="54"/>
        <v>0</v>
      </c>
      <c r="L129" s="51">
        <f t="shared" si="54"/>
        <v>0</v>
      </c>
      <c r="M129" s="51">
        <f t="shared" si="54"/>
        <v>0</v>
      </c>
      <c r="N129" s="51">
        <f t="shared" si="54"/>
        <v>1.1252362404719591E-3</v>
      </c>
      <c r="O129" s="51">
        <f t="shared" si="53"/>
        <v>0</v>
      </c>
      <c r="P129" s="97"/>
      <c r="Q129" s="39">
        <f>G129+N129</f>
        <v>1.1252362404719591E-3</v>
      </c>
      <c r="R129" s="5">
        <f>SUM(K129:L129)</f>
        <v>0</v>
      </c>
      <c r="T129" s="5">
        <f t="shared" ref="T129:T131" si="55">SUM(C129:O129)</f>
        <v>203.5900817522527</v>
      </c>
    </row>
    <row r="130" spans="2:20" x14ac:dyDescent="0.3">
      <c r="B130" s="3">
        <v>2040</v>
      </c>
      <c r="C130" s="51">
        <f t="shared" ref="C130:N130" si="56">C112+C118+C124</f>
        <v>98.926828811706258</v>
      </c>
      <c r="D130" s="51">
        <f t="shared" si="56"/>
        <v>0</v>
      </c>
      <c r="E130" s="51">
        <f t="shared" si="56"/>
        <v>6.3222525492703703</v>
      </c>
      <c r="F130" s="51">
        <f t="shared" si="56"/>
        <v>4.4230053106442693</v>
      </c>
      <c r="G130" s="51">
        <f t="shared" si="56"/>
        <v>0</v>
      </c>
      <c r="H130" s="51">
        <f t="shared" si="56"/>
        <v>0</v>
      </c>
      <c r="I130" s="51">
        <f t="shared" si="56"/>
        <v>0</v>
      </c>
      <c r="J130" s="51">
        <f t="shared" si="56"/>
        <v>0</v>
      </c>
      <c r="K130" s="51">
        <f t="shared" si="56"/>
        <v>0</v>
      </c>
      <c r="L130" s="51">
        <f t="shared" si="56"/>
        <v>0</v>
      </c>
      <c r="M130" s="51">
        <f t="shared" si="56"/>
        <v>0</v>
      </c>
      <c r="N130" s="51">
        <f t="shared" si="56"/>
        <v>1.2081086602837537E-3</v>
      </c>
      <c r="O130" s="51">
        <f t="shared" si="53"/>
        <v>0</v>
      </c>
      <c r="P130" s="97"/>
      <c r="Q130" s="39">
        <f>G130+N130</f>
        <v>1.2081086602837537E-3</v>
      </c>
      <c r="R130" s="5">
        <f>SUM(K130:L130)</f>
        <v>0</v>
      </c>
      <c r="T130" s="5">
        <f t="shared" si="55"/>
        <v>109.67329478028118</v>
      </c>
    </row>
    <row r="131" spans="2:20" x14ac:dyDescent="0.3">
      <c r="B131" s="3">
        <v>2050</v>
      </c>
      <c r="C131" s="51">
        <f t="shared" ref="C131:N131" si="57">C113+C119+C125</f>
        <v>58.704462504037437</v>
      </c>
      <c r="D131" s="51">
        <f t="shared" si="57"/>
        <v>0</v>
      </c>
      <c r="E131" s="51">
        <f t="shared" si="57"/>
        <v>12.918780506213892</v>
      </c>
      <c r="F131" s="51">
        <f t="shared" si="57"/>
        <v>5.68676520089332</v>
      </c>
      <c r="G131" s="51">
        <f t="shared" si="57"/>
        <v>0</v>
      </c>
      <c r="H131" s="51">
        <f t="shared" si="57"/>
        <v>0</v>
      </c>
      <c r="I131" s="51">
        <f t="shared" si="57"/>
        <v>0</v>
      </c>
      <c r="J131" s="51">
        <f t="shared" si="57"/>
        <v>0</v>
      </c>
      <c r="K131" s="51">
        <f t="shared" si="57"/>
        <v>0</v>
      </c>
      <c r="L131" s="51">
        <f t="shared" si="57"/>
        <v>0</v>
      </c>
      <c r="M131" s="51">
        <f t="shared" si="57"/>
        <v>0</v>
      </c>
      <c r="N131" s="51">
        <f t="shared" si="57"/>
        <v>1.2104458981731054E-3</v>
      </c>
      <c r="O131" s="51">
        <f t="shared" si="53"/>
        <v>0</v>
      </c>
      <c r="P131" s="97"/>
      <c r="Q131" s="39">
        <f>G131+N131</f>
        <v>1.2104458981731054E-3</v>
      </c>
      <c r="R131" s="5">
        <f>SUM(K131:L131)</f>
        <v>0</v>
      </c>
      <c r="T131" s="5">
        <f t="shared" si="55"/>
        <v>77.311218657042815</v>
      </c>
    </row>
    <row r="132" spans="2:20" x14ac:dyDescent="0.3"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28"/>
    </row>
    <row r="133" spans="2:20" x14ac:dyDescent="0.3">
      <c r="B133" s="3">
        <v>2016</v>
      </c>
      <c r="C133" s="23">
        <f t="shared" ref="C133:O136" si="58">IFERROR(C128/$T128,0)</f>
        <v>0.99335082833634569</v>
      </c>
      <c r="D133" s="23">
        <f t="shared" si="58"/>
        <v>0</v>
      </c>
      <c r="E133" s="23">
        <f t="shared" si="58"/>
        <v>1.2812279963699213E-3</v>
      </c>
      <c r="F133" s="23">
        <f t="shared" si="58"/>
        <v>5.365178424549635E-3</v>
      </c>
      <c r="G133" s="23">
        <f t="shared" si="58"/>
        <v>0</v>
      </c>
      <c r="H133" s="23">
        <f t="shared" si="58"/>
        <v>0</v>
      </c>
      <c r="I133" s="23">
        <f t="shared" si="58"/>
        <v>0</v>
      </c>
      <c r="J133" s="23">
        <f t="shared" si="58"/>
        <v>0</v>
      </c>
      <c r="K133" s="23">
        <f t="shared" si="58"/>
        <v>0</v>
      </c>
      <c r="L133" s="23">
        <f t="shared" si="58"/>
        <v>0</v>
      </c>
      <c r="M133" s="23">
        <f t="shared" si="58"/>
        <v>0</v>
      </c>
      <c r="N133" s="23">
        <f t="shared" si="58"/>
        <v>2.7652427347283133E-6</v>
      </c>
      <c r="O133" s="23">
        <f t="shared" si="58"/>
        <v>0</v>
      </c>
      <c r="P133" s="26"/>
      <c r="Q133" s="7">
        <f t="shared" ref="Q133:R136" si="59">Q128/$T128</f>
        <v>2.7652427347283133E-6</v>
      </c>
      <c r="R133" s="7">
        <f t="shared" si="59"/>
        <v>0</v>
      </c>
      <c r="T133" s="8">
        <f>SUM(C133:O133)</f>
        <v>0.99999999999999989</v>
      </c>
    </row>
    <row r="134" spans="2:20" x14ac:dyDescent="0.3">
      <c r="B134" s="3">
        <v>2030</v>
      </c>
      <c r="C134" s="23">
        <f t="shared" si="58"/>
        <v>0.98204719658472095</v>
      </c>
      <c r="D134" s="23">
        <f t="shared" si="58"/>
        <v>0</v>
      </c>
      <c r="E134" s="23">
        <f t="shared" si="58"/>
        <v>7.0512201403941845E-3</v>
      </c>
      <c r="F134" s="23">
        <f t="shared" si="58"/>
        <v>1.0896056305050179E-2</v>
      </c>
      <c r="G134" s="23">
        <f t="shared" si="58"/>
        <v>0</v>
      </c>
      <c r="H134" s="23">
        <f t="shared" si="58"/>
        <v>0</v>
      </c>
      <c r="I134" s="23">
        <f t="shared" si="58"/>
        <v>0</v>
      </c>
      <c r="J134" s="23">
        <f t="shared" si="58"/>
        <v>0</v>
      </c>
      <c r="K134" s="23">
        <f t="shared" si="58"/>
        <v>0</v>
      </c>
      <c r="L134" s="23">
        <f t="shared" si="58"/>
        <v>0</v>
      </c>
      <c r="M134" s="23">
        <f t="shared" si="58"/>
        <v>0</v>
      </c>
      <c r="N134" s="23">
        <f t="shared" si="58"/>
        <v>5.5269698346172433E-6</v>
      </c>
      <c r="O134" s="23">
        <f t="shared" si="58"/>
        <v>0</v>
      </c>
      <c r="P134" s="26"/>
      <c r="Q134" s="7">
        <f t="shared" si="59"/>
        <v>5.5269698346172433E-6</v>
      </c>
      <c r="R134" s="7">
        <f t="shared" si="59"/>
        <v>0</v>
      </c>
      <c r="T134" s="8">
        <f t="shared" ref="T134:T136" si="60">SUM(C134:O134)</f>
        <v>0.99999999999999989</v>
      </c>
    </row>
    <row r="135" spans="2:20" x14ac:dyDescent="0.3">
      <c r="B135" s="3">
        <v>2040</v>
      </c>
      <c r="C135" s="23">
        <f t="shared" si="58"/>
        <v>0.90201383126034163</v>
      </c>
      <c r="D135" s="23">
        <f t="shared" si="58"/>
        <v>0</v>
      </c>
      <c r="E135" s="23">
        <f t="shared" si="58"/>
        <v>5.7646235229244579E-2</v>
      </c>
      <c r="F135" s="23">
        <f t="shared" si="58"/>
        <v>4.0328917987786282E-2</v>
      </c>
      <c r="G135" s="23">
        <f t="shared" si="58"/>
        <v>0</v>
      </c>
      <c r="H135" s="23">
        <f t="shared" si="58"/>
        <v>0</v>
      </c>
      <c r="I135" s="23">
        <f t="shared" si="58"/>
        <v>0</v>
      </c>
      <c r="J135" s="23">
        <f t="shared" si="58"/>
        <v>0</v>
      </c>
      <c r="K135" s="23">
        <f t="shared" si="58"/>
        <v>0</v>
      </c>
      <c r="L135" s="23">
        <f t="shared" si="58"/>
        <v>0</v>
      </c>
      <c r="M135" s="23">
        <f t="shared" si="58"/>
        <v>0</v>
      </c>
      <c r="N135" s="23">
        <f t="shared" si="58"/>
        <v>1.1015522627491691E-5</v>
      </c>
      <c r="O135" s="23">
        <f t="shared" si="58"/>
        <v>0</v>
      </c>
      <c r="P135" s="26"/>
      <c r="Q135" s="7">
        <f t="shared" si="59"/>
        <v>1.1015522627491691E-5</v>
      </c>
      <c r="R135" s="7">
        <f t="shared" si="59"/>
        <v>0</v>
      </c>
      <c r="T135" s="8">
        <f t="shared" si="60"/>
        <v>1</v>
      </c>
    </row>
    <row r="136" spans="2:20" x14ac:dyDescent="0.3">
      <c r="B136" s="3">
        <v>2050</v>
      </c>
      <c r="C136" s="23">
        <f t="shared" si="58"/>
        <v>0.75932657024142824</v>
      </c>
      <c r="D136" s="23">
        <f t="shared" si="58"/>
        <v>0</v>
      </c>
      <c r="E136" s="23">
        <f t="shared" si="58"/>
        <v>0.16710098134039736</v>
      </c>
      <c r="F136" s="23">
        <f t="shared" si="58"/>
        <v>7.3556791623220305E-2</v>
      </c>
      <c r="G136" s="23">
        <f t="shared" si="58"/>
        <v>0</v>
      </c>
      <c r="H136" s="23">
        <f t="shared" si="58"/>
        <v>0</v>
      </c>
      <c r="I136" s="23">
        <f t="shared" si="58"/>
        <v>0</v>
      </c>
      <c r="J136" s="23">
        <f t="shared" si="58"/>
        <v>0</v>
      </c>
      <c r="K136" s="23">
        <f t="shared" si="58"/>
        <v>0</v>
      </c>
      <c r="L136" s="23">
        <f t="shared" si="58"/>
        <v>0</v>
      </c>
      <c r="M136" s="23">
        <f t="shared" si="58"/>
        <v>0</v>
      </c>
      <c r="N136" s="23">
        <f t="shared" si="58"/>
        <v>1.5656794954206009E-5</v>
      </c>
      <c r="O136" s="23">
        <f t="shared" si="58"/>
        <v>0</v>
      </c>
      <c r="P136" s="26"/>
      <c r="Q136" s="7">
        <f t="shared" si="59"/>
        <v>1.5656794954206009E-5</v>
      </c>
      <c r="R136" s="7">
        <f t="shared" si="59"/>
        <v>0</v>
      </c>
      <c r="T136" s="8">
        <f t="shared" si="60"/>
        <v>1.0000000000000002</v>
      </c>
    </row>
    <row r="137" spans="2:20" s="11" customFormat="1" x14ac:dyDescent="0.3">
      <c r="C137" s="12"/>
      <c r="D137" s="12"/>
      <c r="E137" s="14"/>
      <c r="F137" s="14"/>
      <c r="G137" s="14"/>
      <c r="H137" s="16"/>
      <c r="I137" s="14"/>
      <c r="J137" s="14"/>
      <c r="K137" s="16"/>
      <c r="L137" s="14"/>
      <c r="M137" s="16"/>
      <c r="N137" s="20"/>
      <c r="O137" s="20"/>
      <c r="P137" s="20"/>
    </row>
    <row r="138" spans="2:20" s="9" customFormat="1" ht="21" x14ac:dyDescent="0.4">
      <c r="B138" s="10" t="s">
        <v>44</v>
      </c>
    </row>
    <row r="139" spans="2:20" s="32" customFormat="1" ht="21" x14ac:dyDescent="0.4">
      <c r="B139" s="31"/>
      <c r="P139" s="58"/>
    </row>
    <row r="140" spans="2:20" ht="28.8" x14ac:dyDescent="0.3">
      <c r="B140" s="43" t="s">
        <v>76</v>
      </c>
      <c r="C140" s="43" t="s">
        <v>0</v>
      </c>
      <c r="D140" s="43" t="s">
        <v>1</v>
      </c>
      <c r="E140" s="43" t="s">
        <v>28</v>
      </c>
      <c r="F140" s="2" t="s">
        <v>29</v>
      </c>
      <c r="G140" s="2" t="s">
        <v>6</v>
      </c>
      <c r="H140" s="43" t="s">
        <v>2</v>
      </c>
      <c r="I140" s="43" t="s">
        <v>3</v>
      </c>
      <c r="J140" s="43" t="s">
        <v>4</v>
      </c>
      <c r="K140" s="43" t="s">
        <v>9</v>
      </c>
      <c r="L140" s="43" t="s">
        <v>8</v>
      </c>
      <c r="M140" s="43" t="s">
        <v>25</v>
      </c>
      <c r="N140" s="43" t="s">
        <v>7</v>
      </c>
      <c r="O140" s="43" t="s">
        <v>89</v>
      </c>
      <c r="P140" s="25"/>
      <c r="Q140" s="43" t="s">
        <v>5</v>
      </c>
      <c r="R140" s="43" t="s">
        <v>91</v>
      </c>
      <c r="T140" s="43" t="s">
        <v>10</v>
      </c>
    </row>
    <row r="141" spans="2:20" x14ac:dyDescent="0.3">
      <c r="B141" s="3">
        <v>2016</v>
      </c>
      <c r="C141" s="51">
        <f>Inputs_Summary!E$16*C34/1000000</f>
        <v>280.52467826386066</v>
      </c>
      <c r="D141" s="51">
        <f>Inputs_Summary!F$16*D34/1000000</f>
        <v>0</v>
      </c>
      <c r="E141" s="51">
        <f>Inputs_Summary!G$16*E34/1000000</f>
        <v>1.4970319768567157E-2</v>
      </c>
      <c r="F141" s="51">
        <f>Inputs_Summary!H$16*F34/1000000</f>
        <v>0</v>
      </c>
      <c r="G141" s="51">
        <f>Inputs_Summary!I$16*G34/1000000</f>
        <v>0</v>
      </c>
      <c r="H141" s="51">
        <f>Inputs_Summary!J$16*H34/1000000</f>
        <v>0</v>
      </c>
      <c r="I141" s="51">
        <f>Inputs_Summary!K$16*I34/1000000</f>
        <v>6.6213594050410038E-2</v>
      </c>
      <c r="J141" s="51">
        <f>Inputs_Summary!L$16*J34/1000000</f>
        <v>0</v>
      </c>
      <c r="K141" s="51">
        <f>Inputs_Summary!M$16*K34/1000000</f>
        <v>0</v>
      </c>
      <c r="L141" s="51">
        <f>Inputs_Summary!N$16*L34/1000000</f>
        <v>0.35950778379036846</v>
      </c>
      <c r="M141" s="51">
        <f>Inputs_Summary!O$16*M34/1000000</f>
        <v>0</v>
      </c>
      <c r="N141" s="51">
        <f>Inputs_Summary!P$16*N34/1000000</f>
        <v>5.9887859519957903E-4</v>
      </c>
      <c r="O141" s="51">
        <f>Inputs_Summary!R$16*O34/1000000</f>
        <v>0</v>
      </c>
      <c r="P141" s="97"/>
      <c r="Q141" s="39">
        <f>G141+N141</f>
        <v>5.9887859519957903E-4</v>
      </c>
      <c r="R141" s="5">
        <f>SUM(K141:L141)</f>
        <v>0.35950778379036846</v>
      </c>
      <c r="T141" s="5">
        <f>SUM(C141:O141)</f>
        <v>280.96596884006522</v>
      </c>
    </row>
    <row r="142" spans="2:20" x14ac:dyDescent="0.3">
      <c r="B142" s="3">
        <v>2030</v>
      </c>
      <c r="C142" s="51">
        <f>Inputs_Summary!E$16*C35/1000000</f>
        <v>180.45672254067537</v>
      </c>
      <c r="D142" s="51">
        <f>Inputs_Summary!F$16*D35/1000000</f>
        <v>0</v>
      </c>
      <c r="E142" s="51">
        <f>Inputs_Summary!G$16*E35/1000000</f>
        <v>4.4086780381087445E-2</v>
      </c>
      <c r="F142" s="51">
        <f>Inputs_Summary!H$16*F35/1000000</f>
        <v>0</v>
      </c>
      <c r="G142" s="51">
        <f>Inputs_Summary!I$16*G35/1000000</f>
        <v>0</v>
      </c>
      <c r="H142" s="51">
        <f>Inputs_Summary!J$16*H35/1000000</f>
        <v>0</v>
      </c>
      <c r="I142" s="51">
        <f>Inputs_Summary!K$16*I35/1000000</f>
        <v>6.7236741272581155E-2</v>
      </c>
      <c r="J142" s="51">
        <f>Inputs_Summary!L$16*J35/1000000</f>
        <v>0</v>
      </c>
      <c r="K142" s="51">
        <f>Inputs_Summary!M$16*K35/1000000</f>
        <v>0</v>
      </c>
      <c r="L142" s="51">
        <f>Inputs_Summary!N$16*L35/1000000</f>
        <v>0.35447899501894781</v>
      </c>
      <c r="M142" s="51">
        <f>Inputs_Summary!O$16*M35/1000000</f>
        <v>0</v>
      </c>
      <c r="N142" s="51">
        <f>Inputs_Summary!P$16*N35/1000000</f>
        <v>5.2651101099675962E-4</v>
      </c>
      <c r="O142" s="51">
        <f>Inputs_Summary!R$16*O35/1000000</f>
        <v>0</v>
      </c>
      <c r="P142" s="97"/>
      <c r="Q142" s="39">
        <f>G142+N142</f>
        <v>5.2651101099675962E-4</v>
      </c>
      <c r="R142" s="5">
        <f>SUM(K142:L142)</f>
        <v>0.35447899501894781</v>
      </c>
      <c r="T142" s="5">
        <f t="shared" ref="T142:T144" si="61">SUM(C142:O142)</f>
        <v>180.923051568359</v>
      </c>
    </row>
    <row r="143" spans="2:20" x14ac:dyDescent="0.3">
      <c r="B143" s="3">
        <v>2040</v>
      </c>
      <c r="C143" s="51">
        <f>Inputs_Summary!E$16*C36/1000000</f>
        <v>50.258284344540535</v>
      </c>
      <c r="D143" s="51">
        <f>Inputs_Summary!F$16*D36/1000000</f>
        <v>0</v>
      </c>
      <c r="E143" s="51">
        <f>Inputs_Summary!G$16*E36/1000000</f>
        <v>4.4361388476843289E-2</v>
      </c>
      <c r="F143" s="51">
        <f>Inputs_Summary!H$16*F36/1000000</f>
        <v>0</v>
      </c>
      <c r="G143" s="51">
        <f>Inputs_Summary!I$16*G36/1000000</f>
        <v>0</v>
      </c>
      <c r="H143" s="51">
        <f>Inputs_Summary!J$16*H36/1000000</f>
        <v>0</v>
      </c>
      <c r="I143" s="51">
        <f>Inputs_Summary!K$16*I36/1000000</f>
        <v>6.7485371547022652E-2</v>
      </c>
      <c r="J143" s="51">
        <f>Inputs_Summary!L$16*J36/1000000</f>
        <v>0</v>
      </c>
      <c r="K143" s="51">
        <f>Inputs_Summary!M$16*K36/1000000</f>
        <v>0</v>
      </c>
      <c r="L143" s="51">
        <f>Inputs_Summary!N$16*L36/1000000</f>
        <v>0.35881530183047766</v>
      </c>
      <c r="M143" s="51">
        <f>Inputs_Summary!O$16*M36/1000000</f>
        <v>0</v>
      </c>
      <c r="N143" s="51">
        <f>Inputs_Summary!P$16*N36/1000000</f>
        <v>5.8266387755331157E-4</v>
      </c>
      <c r="O143" s="51">
        <f>Inputs_Summary!R$16*O36/1000000</f>
        <v>0</v>
      </c>
      <c r="P143" s="97"/>
      <c r="Q143" s="39">
        <f>G143+N143</f>
        <v>5.8266387755331157E-4</v>
      </c>
      <c r="R143" s="5">
        <f>SUM(K143:L143)</f>
        <v>0.35881530183047766</v>
      </c>
      <c r="T143" s="5">
        <f t="shared" si="61"/>
        <v>50.729529070272427</v>
      </c>
    </row>
    <row r="144" spans="2:20" x14ac:dyDescent="0.3">
      <c r="B144" s="3">
        <v>2050</v>
      </c>
      <c r="C144" s="51">
        <f>Inputs_Summary!E$16*C37/1000000</f>
        <v>0</v>
      </c>
      <c r="D144" s="51">
        <f>Inputs_Summary!F$16*D37/1000000</f>
        <v>0</v>
      </c>
      <c r="E144" s="51">
        <f>Inputs_Summary!G$16*E37/1000000</f>
        <v>4.4713631302600629E-2</v>
      </c>
      <c r="F144" s="51">
        <f>Inputs_Summary!H$16*F37/1000000</f>
        <v>0</v>
      </c>
      <c r="G144" s="51">
        <f>Inputs_Summary!I$16*G37/1000000</f>
        <v>0</v>
      </c>
      <c r="H144" s="51">
        <f>Inputs_Summary!J$16*H37/1000000</f>
        <v>0</v>
      </c>
      <c r="I144" s="51">
        <f>Inputs_Summary!K$16*I37/1000000</f>
        <v>0</v>
      </c>
      <c r="J144" s="51">
        <f>Inputs_Summary!L$16*J37/1000000</f>
        <v>0</v>
      </c>
      <c r="K144" s="51">
        <f>Inputs_Summary!M$16*K37/1000000</f>
        <v>0</v>
      </c>
      <c r="L144" s="51">
        <f>Inputs_Summary!N$16*L37/1000000</f>
        <v>0.37216784397529018</v>
      </c>
      <c r="M144" s="51">
        <f>Inputs_Summary!O$16*M37/1000000</f>
        <v>0</v>
      </c>
      <c r="N144" s="51">
        <f>Inputs_Summary!P$16*N37/1000000</f>
        <v>5.7723634895223252E-4</v>
      </c>
      <c r="O144" s="51">
        <f>Inputs_Summary!R$16*O37/1000000</f>
        <v>0</v>
      </c>
      <c r="P144" s="97"/>
      <c r="Q144" s="39">
        <f>G144+N144</f>
        <v>5.7723634895223252E-4</v>
      </c>
      <c r="R144" s="5">
        <f>SUM(K144:L144)</f>
        <v>0.37216784397529018</v>
      </c>
      <c r="T144" s="5">
        <f t="shared" si="61"/>
        <v>0.41745871162684306</v>
      </c>
    </row>
    <row r="145" spans="2:20" x14ac:dyDescent="0.3"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28"/>
      <c r="Q145" s="5"/>
      <c r="R145" s="5"/>
      <c r="S145" s="5"/>
      <c r="T145" s="5"/>
    </row>
    <row r="146" spans="2:20" ht="28.8" x14ac:dyDescent="0.3">
      <c r="B146" s="43" t="s">
        <v>77</v>
      </c>
      <c r="C146" s="43" t="s">
        <v>0</v>
      </c>
      <c r="D146" s="43" t="s">
        <v>1</v>
      </c>
      <c r="E146" s="43" t="s">
        <v>28</v>
      </c>
      <c r="F146" s="2" t="s">
        <v>29</v>
      </c>
      <c r="G146" s="2" t="s">
        <v>6</v>
      </c>
      <c r="H146" s="43" t="s">
        <v>2</v>
      </c>
      <c r="I146" s="43" t="s">
        <v>3</v>
      </c>
      <c r="J146" s="43" t="s">
        <v>4</v>
      </c>
      <c r="K146" s="43" t="s">
        <v>9</v>
      </c>
      <c r="L146" s="43" t="s">
        <v>8</v>
      </c>
      <c r="M146" s="43" t="s">
        <v>25</v>
      </c>
      <c r="N146" s="43" t="s">
        <v>7</v>
      </c>
      <c r="O146" s="43" t="s">
        <v>89</v>
      </c>
      <c r="P146" s="25"/>
      <c r="Q146" s="43" t="s">
        <v>5</v>
      </c>
      <c r="R146" s="43" t="s">
        <v>91</v>
      </c>
      <c r="T146" s="43" t="s">
        <v>10</v>
      </c>
    </row>
    <row r="147" spans="2:20" x14ac:dyDescent="0.3">
      <c r="B147" s="3">
        <v>2016</v>
      </c>
      <c r="C147" s="51">
        <f>Inputs_Summary!E$19*C40/1000000</f>
        <v>1.186581624139819</v>
      </c>
      <c r="D147" s="51">
        <f>Inputs_Summary!F$19*D40/1000000</f>
        <v>0</v>
      </c>
      <c r="E147" s="51">
        <f>Inputs_Summary!G$19*E40/1000000</f>
        <v>0</v>
      </c>
      <c r="F147" s="51">
        <f>Inputs_Summary!H$19*F40/1000000</f>
        <v>0</v>
      </c>
      <c r="G147" s="51">
        <f>Inputs_Summary!I$19*G40/1000000</f>
        <v>0</v>
      </c>
      <c r="H147" s="51">
        <f>Inputs_Summary!J$19*H40/1000000</f>
        <v>0</v>
      </c>
      <c r="I147" s="51">
        <f>Inputs_Summary!K$19*I40/1000000</f>
        <v>6.6978467462469066E-3</v>
      </c>
      <c r="J147" s="51">
        <f>Inputs_Summary!L$19*J40/1000000</f>
        <v>0</v>
      </c>
      <c r="K147" s="51">
        <f>Inputs_Summary!M$19*K40/1000000</f>
        <v>0</v>
      </c>
      <c r="L147" s="51">
        <f>Inputs_Summary!N$19*L40/1000000</f>
        <v>8.739765331128805E-3</v>
      </c>
      <c r="M147" s="51">
        <f>Inputs_Summary!O$19*M40/1000000</f>
        <v>0</v>
      </c>
      <c r="N147" s="51">
        <f>Inputs_Summary!P$19*N40/1000000</f>
        <v>0</v>
      </c>
      <c r="O147" s="51">
        <f>Inputs_Summary!R$19*O40/1000000</f>
        <v>0</v>
      </c>
      <c r="P147" s="97"/>
      <c r="Q147" s="39">
        <f>G147+N147</f>
        <v>0</v>
      </c>
      <c r="R147" s="5">
        <f>SUM(K147:L147)</f>
        <v>8.739765331128805E-3</v>
      </c>
      <c r="T147" s="5">
        <f>SUM(C147:O147)</f>
        <v>1.2020192362171946</v>
      </c>
    </row>
    <row r="148" spans="2:20" x14ac:dyDescent="0.3">
      <c r="B148" s="3">
        <v>2030</v>
      </c>
      <c r="C148" s="51">
        <f>Inputs_Summary!E$19*C41/1000000</f>
        <v>15.333535702355723</v>
      </c>
      <c r="D148" s="51">
        <f>Inputs_Summary!F$19*D41/1000000</f>
        <v>0</v>
      </c>
      <c r="E148" s="51">
        <f>Inputs_Summary!G$19*E41/1000000</f>
        <v>0</v>
      </c>
      <c r="F148" s="51">
        <f>Inputs_Summary!H$19*F41/1000000</f>
        <v>0</v>
      </c>
      <c r="G148" s="51">
        <f>Inputs_Summary!I$19*G41/1000000</f>
        <v>0</v>
      </c>
      <c r="H148" s="51">
        <f>Inputs_Summary!J$19*H41/1000000</f>
        <v>0</v>
      </c>
      <c r="I148" s="51">
        <f>Inputs_Summary!K$19*I41/1000000</f>
        <v>0.33699968623271864</v>
      </c>
      <c r="J148" s="51">
        <f>Inputs_Summary!L$19*J41/1000000</f>
        <v>0</v>
      </c>
      <c r="K148" s="51">
        <f>Inputs_Summary!M$19*K41/1000000</f>
        <v>0</v>
      </c>
      <c r="L148" s="51">
        <f>Inputs_Summary!N$19*L41/1000000</f>
        <v>0.23246042521164179</v>
      </c>
      <c r="M148" s="51">
        <f>Inputs_Summary!O$19*M41/1000000</f>
        <v>0</v>
      </c>
      <c r="N148" s="51">
        <f>Inputs_Summary!P$19*N41/1000000</f>
        <v>5.9872522947519941E-4</v>
      </c>
      <c r="O148" s="51">
        <f>Inputs_Summary!R$19*O41/1000000</f>
        <v>0</v>
      </c>
      <c r="P148" s="97"/>
      <c r="Q148" s="39">
        <f>G148+N148</f>
        <v>5.9872522947519941E-4</v>
      </c>
      <c r="R148" s="5">
        <f>SUM(K148:L148)</f>
        <v>0.23246042521164179</v>
      </c>
      <c r="T148" s="5">
        <f t="shared" ref="T148:T150" si="62">SUM(C148:O148)</f>
        <v>15.903594539029559</v>
      </c>
    </row>
    <row r="149" spans="2:20" x14ac:dyDescent="0.3">
      <c r="B149" s="3">
        <v>2040</v>
      </c>
      <c r="C149" s="51">
        <f>Inputs_Summary!E$19*C42/1000000</f>
        <v>14.508321512858053</v>
      </c>
      <c r="D149" s="51">
        <f>Inputs_Summary!F$19*D42/1000000</f>
        <v>0</v>
      </c>
      <c r="E149" s="51">
        <f>Inputs_Summary!G$19*E42/1000000</f>
        <v>0</v>
      </c>
      <c r="F149" s="51">
        <f>Inputs_Summary!H$19*F42/1000000</f>
        <v>0</v>
      </c>
      <c r="G149" s="51">
        <f>Inputs_Summary!I$19*G42/1000000</f>
        <v>0</v>
      </c>
      <c r="H149" s="51">
        <f>Inputs_Summary!J$19*H42/1000000</f>
        <v>0</v>
      </c>
      <c r="I149" s="51">
        <f>Inputs_Summary!K$19*I42/1000000</f>
        <v>0.33758753719117757</v>
      </c>
      <c r="J149" s="51">
        <f>Inputs_Summary!L$19*J42/1000000</f>
        <v>0</v>
      </c>
      <c r="K149" s="51">
        <f>Inputs_Summary!M$19*K42/1000000</f>
        <v>0</v>
      </c>
      <c r="L149" s="51">
        <f>Inputs_Summary!N$19*L42/1000000</f>
        <v>0.2336630777485639</v>
      </c>
      <c r="M149" s="51">
        <f>Inputs_Summary!O$19*M42/1000000</f>
        <v>0</v>
      </c>
      <c r="N149" s="51">
        <f>Inputs_Summary!P$19*N42/1000000</f>
        <v>6.2544478273044205E-4</v>
      </c>
      <c r="O149" s="51">
        <f>Inputs_Summary!R$19*O42/1000000</f>
        <v>0</v>
      </c>
      <c r="P149" s="97"/>
      <c r="Q149" s="39">
        <f>G149+N149</f>
        <v>6.2544478273044205E-4</v>
      </c>
      <c r="R149" s="5">
        <f>SUM(K149:L149)</f>
        <v>0.2336630777485639</v>
      </c>
      <c r="T149" s="5">
        <f t="shared" si="62"/>
        <v>15.080197572580525</v>
      </c>
    </row>
    <row r="150" spans="2:20" x14ac:dyDescent="0.3">
      <c r="B150" s="3">
        <v>2050</v>
      </c>
      <c r="C150" s="51">
        <f>Inputs_Summary!E$19*C43/1000000</f>
        <v>13.898134432063339</v>
      </c>
      <c r="D150" s="51">
        <f>Inputs_Summary!F$19*D43/1000000</f>
        <v>0</v>
      </c>
      <c r="E150" s="51">
        <f>Inputs_Summary!G$19*E43/1000000</f>
        <v>0</v>
      </c>
      <c r="F150" s="51">
        <f>Inputs_Summary!H$19*F43/1000000</f>
        <v>0</v>
      </c>
      <c r="G150" s="51">
        <f>Inputs_Summary!I$19*G43/1000000</f>
        <v>0</v>
      </c>
      <c r="H150" s="51">
        <f>Inputs_Summary!J$19*H43/1000000</f>
        <v>0</v>
      </c>
      <c r="I150" s="51">
        <f>Inputs_Summary!K$19*I43/1000000</f>
        <v>0</v>
      </c>
      <c r="J150" s="51">
        <f>Inputs_Summary!L$19*J43/1000000</f>
        <v>0</v>
      </c>
      <c r="K150" s="51">
        <f>Inputs_Summary!M$19*K43/1000000</f>
        <v>0</v>
      </c>
      <c r="L150" s="51">
        <f>Inputs_Summary!N$19*L43/1000000</f>
        <v>0</v>
      </c>
      <c r="M150" s="51">
        <f>Inputs_Summary!O$19*M43/1000000</f>
        <v>0</v>
      </c>
      <c r="N150" s="51">
        <f>Inputs_Summary!P$19*N43/1000000</f>
        <v>6.3320954922087302E-4</v>
      </c>
      <c r="O150" s="51">
        <f>Inputs_Summary!R$19*O43/1000000</f>
        <v>0</v>
      </c>
      <c r="P150" s="97"/>
      <c r="Q150" s="39">
        <f>G150+N150</f>
        <v>6.3320954922087302E-4</v>
      </c>
      <c r="R150" s="5">
        <f>SUM(K150:L150)</f>
        <v>0</v>
      </c>
      <c r="T150" s="5">
        <f t="shared" si="62"/>
        <v>13.89876764161256</v>
      </c>
    </row>
    <row r="151" spans="2:20" x14ac:dyDescent="0.3"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28"/>
      <c r="Q151" s="5"/>
      <c r="R151" s="5"/>
      <c r="S151" s="5"/>
      <c r="T151" s="5"/>
    </row>
    <row r="152" spans="2:20" ht="28.8" x14ac:dyDescent="0.3">
      <c r="B152" s="43" t="s">
        <v>78</v>
      </c>
      <c r="C152" s="43" t="s">
        <v>0</v>
      </c>
      <c r="D152" s="43" t="s">
        <v>1</v>
      </c>
      <c r="E152" s="43" t="s">
        <v>28</v>
      </c>
      <c r="F152" s="2" t="s">
        <v>29</v>
      </c>
      <c r="G152" s="2" t="s">
        <v>6</v>
      </c>
      <c r="H152" s="43" t="s">
        <v>2</v>
      </c>
      <c r="I152" s="43" t="s">
        <v>3</v>
      </c>
      <c r="J152" s="43" t="s">
        <v>4</v>
      </c>
      <c r="K152" s="43" t="s">
        <v>9</v>
      </c>
      <c r="L152" s="43" t="s">
        <v>8</v>
      </c>
      <c r="M152" s="43" t="s">
        <v>25</v>
      </c>
      <c r="N152" s="43" t="s">
        <v>7</v>
      </c>
      <c r="O152" s="43" t="s">
        <v>89</v>
      </c>
      <c r="P152" s="25"/>
      <c r="Q152" s="43" t="s">
        <v>5</v>
      </c>
      <c r="R152" s="43" t="s">
        <v>91</v>
      </c>
      <c r="T152" s="43" t="s">
        <v>10</v>
      </c>
    </row>
    <row r="153" spans="2:20" x14ac:dyDescent="0.3">
      <c r="B153" s="3">
        <v>2016</v>
      </c>
      <c r="C153" s="51">
        <f>Inputs_Summary!E$22*C46/1000000</f>
        <v>0</v>
      </c>
      <c r="D153" s="51">
        <f>Inputs_Summary!F$22*D46/1000000</f>
        <v>0</v>
      </c>
      <c r="E153" s="51">
        <f>Inputs_Summary!G$22*E46/1000000</f>
        <v>0</v>
      </c>
      <c r="F153" s="51">
        <f>Inputs_Summary!H$22*F46/1000000</f>
        <v>0</v>
      </c>
      <c r="G153" s="51">
        <f>Inputs_Summary!I$22*G46/1000000</f>
        <v>0</v>
      </c>
      <c r="H153" s="51">
        <f>Inputs_Summary!J$22*H46/1000000</f>
        <v>0</v>
      </c>
      <c r="I153" s="51">
        <f>Inputs_Summary!K$22*I46/1000000</f>
        <v>0</v>
      </c>
      <c r="J153" s="51">
        <f>Inputs_Summary!L$22*J46/1000000</f>
        <v>0</v>
      </c>
      <c r="K153" s="51">
        <f>Inputs_Summary!M$22*K46/1000000</f>
        <v>0</v>
      </c>
      <c r="L153" s="51">
        <f>Inputs_Summary!N$22*L46/1000000</f>
        <v>0</v>
      </c>
      <c r="M153" s="51">
        <f>Inputs_Summary!O$22*M46/1000000</f>
        <v>0</v>
      </c>
      <c r="N153" s="51">
        <f>Inputs_Summary!P$22*N46/1000000</f>
        <v>0</v>
      </c>
      <c r="O153" s="51">
        <f>Inputs_Summary!R$22*O46/1000000</f>
        <v>0</v>
      </c>
      <c r="P153" s="97"/>
      <c r="Q153" s="39">
        <f>G153+N153</f>
        <v>0</v>
      </c>
      <c r="R153" s="5">
        <f>SUM(K153:L153)</f>
        <v>0</v>
      </c>
      <c r="T153" s="5">
        <f>SUM(C153:O153)</f>
        <v>0</v>
      </c>
    </row>
    <row r="154" spans="2:20" x14ac:dyDescent="0.3">
      <c r="B154" s="3">
        <v>2030</v>
      </c>
      <c r="C154" s="51">
        <f>Inputs_Summary!E$22*C47/1000000</f>
        <v>0</v>
      </c>
      <c r="D154" s="51">
        <f>Inputs_Summary!F$22*D47/1000000</f>
        <v>0</v>
      </c>
      <c r="E154" s="51">
        <f>Inputs_Summary!G$22*E47/1000000</f>
        <v>3.3362968937039147E-2</v>
      </c>
      <c r="F154" s="51">
        <f>Inputs_Summary!H$22*F47/1000000</f>
        <v>0</v>
      </c>
      <c r="G154" s="51">
        <f>Inputs_Summary!I$22*G47/1000000</f>
        <v>0</v>
      </c>
      <c r="H154" s="51">
        <f>Inputs_Summary!J$22*H47/1000000</f>
        <v>0</v>
      </c>
      <c r="I154" s="51">
        <f>Inputs_Summary!K$22*I47/1000000</f>
        <v>0</v>
      </c>
      <c r="J154" s="51">
        <f>Inputs_Summary!L$22*J47/1000000</f>
        <v>0</v>
      </c>
      <c r="K154" s="51">
        <f>Inputs_Summary!M$22*K47/1000000</f>
        <v>0</v>
      </c>
      <c r="L154" s="51">
        <f>Inputs_Summary!N$22*L47/1000000</f>
        <v>0</v>
      </c>
      <c r="M154" s="51">
        <f>Inputs_Summary!O$22*M47/1000000</f>
        <v>0</v>
      </c>
      <c r="N154" s="51">
        <f>Inputs_Summary!P$22*N47/1000000</f>
        <v>0</v>
      </c>
      <c r="O154" s="51">
        <f>Inputs_Summary!R$22*O47/1000000</f>
        <v>0</v>
      </c>
      <c r="P154" s="97"/>
      <c r="Q154" s="39">
        <f>G154+N154</f>
        <v>0</v>
      </c>
      <c r="R154" s="5">
        <f>SUM(K154:L154)</f>
        <v>0</v>
      </c>
      <c r="T154" s="5">
        <f t="shared" ref="T154:T156" si="63">SUM(C154:O154)</f>
        <v>3.3362968937039147E-2</v>
      </c>
    </row>
    <row r="155" spans="2:20" x14ac:dyDescent="0.3">
      <c r="B155" s="3">
        <v>2040</v>
      </c>
      <c r="C155" s="51">
        <f>Inputs_Summary!E$22*C48/1000000</f>
        <v>0</v>
      </c>
      <c r="D155" s="51">
        <f>Inputs_Summary!F$22*D48/1000000</f>
        <v>0</v>
      </c>
      <c r="E155" s="51">
        <f>Inputs_Summary!G$22*E48/1000000</f>
        <v>0.29673016595245733</v>
      </c>
      <c r="F155" s="51">
        <f>Inputs_Summary!H$22*F48/1000000</f>
        <v>0</v>
      </c>
      <c r="G155" s="51">
        <f>Inputs_Summary!I$22*G48/1000000</f>
        <v>0</v>
      </c>
      <c r="H155" s="51">
        <f>Inputs_Summary!J$22*H48/1000000</f>
        <v>0</v>
      </c>
      <c r="I155" s="51">
        <f>Inputs_Summary!K$22*I48/1000000</f>
        <v>0</v>
      </c>
      <c r="J155" s="51">
        <f>Inputs_Summary!L$22*J48/1000000</f>
        <v>0</v>
      </c>
      <c r="K155" s="51">
        <f>Inputs_Summary!M$22*K48/1000000</f>
        <v>0</v>
      </c>
      <c r="L155" s="51">
        <f>Inputs_Summary!N$22*L48/1000000</f>
        <v>0</v>
      </c>
      <c r="M155" s="51">
        <f>Inputs_Summary!O$22*M48/1000000</f>
        <v>0</v>
      </c>
      <c r="N155" s="51">
        <f>Inputs_Summary!P$22*N48/1000000</f>
        <v>0</v>
      </c>
      <c r="O155" s="51">
        <f>Inputs_Summary!R$22*O48/1000000</f>
        <v>0</v>
      </c>
      <c r="P155" s="97"/>
      <c r="Q155" s="39">
        <f>G155+N155</f>
        <v>0</v>
      </c>
      <c r="R155" s="5">
        <f>SUM(K155:L155)</f>
        <v>0</v>
      </c>
      <c r="T155" s="5">
        <f t="shared" si="63"/>
        <v>0.29673016595245733</v>
      </c>
    </row>
    <row r="156" spans="2:20" x14ac:dyDescent="0.3">
      <c r="B156" s="3">
        <v>2050</v>
      </c>
      <c r="C156" s="51">
        <f>Inputs_Summary!E$22*C49/1000000</f>
        <v>0</v>
      </c>
      <c r="D156" s="51">
        <f>Inputs_Summary!F$22*D49/1000000</f>
        <v>0</v>
      </c>
      <c r="E156" s="51">
        <f>Inputs_Summary!G$22*E49/1000000</f>
        <v>0.65226689737051946</v>
      </c>
      <c r="F156" s="51">
        <f>Inputs_Summary!H$22*F49/1000000</f>
        <v>0</v>
      </c>
      <c r="G156" s="51">
        <f>Inputs_Summary!I$22*G49/1000000</f>
        <v>0</v>
      </c>
      <c r="H156" s="51">
        <f>Inputs_Summary!J$22*H49/1000000</f>
        <v>0</v>
      </c>
      <c r="I156" s="51">
        <f>Inputs_Summary!K$22*I49/1000000</f>
        <v>0</v>
      </c>
      <c r="J156" s="51">
        <f>Inputs_Summary!L$22*J49/1000000</f>
        <v>0</v>
      </c>
      <c r="K156" s="51">
        <f>Inputs_Summary!M$22*K49/1000000</f>
        <v>0</v>
      </c>
      <c r="L156" s="51">
        <f>Inputs_Summary!N$22*L49/1000000</f>
        <v>0</v>
      </c>
      <c r="M156" s="51">
        <f>Inputs_Summary!O$22*M49/1000000</f>
        <v>0</v>
      </c>
      <c r="N156" s="51">
        <f>Inputs_Summary!P$22*N49/1000000</f>
        <v>0</v>
      </c>
      <c r="O156" s="51">
        <f>Inputs_Summary!R$22*O49/1000000</f>
        <v>0</v>
      </c>
      <c r="P156" s="97"/>
      <c r="Q156" s="39">
        <f>G156+N156</f>
        <v>0</v>
      </c>
      <c r="R156" s="5">
        <f>SUM(K156:L156)</f>
        <v>0</v>
      </c>
      <c r="T156" s="5">
        <f t="shared" si="63"/>
        <v>0.65226689737051946</v>
      </c>
    </row>
    <row r="157" spans="2:20" x14ac:dyDescent="0.3"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28"/>
    </row>
    <row r="158" spans="2:20" ht="28.8" x14ac:dyDescent="0.3">
      <c r="B158" s="43" t="s">
        <v>79</v>
      </c>
      <c r="C158" s="43" t="s">
        <v>0</v>
      </c>
      <c r="D158" s="43" t="s">
        <v>1</v>
      </c>
      <c r="E158" s="43" t="s">
        <v>28</v>
      </c>
      <c r="F158" s="2" t="s">
        <v>29</v>
      </c>
      <c r="G158" s="2" t="s">
        <v>6</v>
      </c>
      <c r="H158" s="43" t="s">
        <v>2</v>
      </c>
      <c r="I158" s="43" t="s">
        <v>3</v>
      </c>
      <c r="J158" s="43" t="s">
        <v>4</v>
      </c>
      <c r="K158" s="43" t="s">
        <v>9</v>
      </c>
      <c r="L158" s="43" t="s">
        <v>8</v>
      </c>
      <c r="M158" s="43" t="s">
        <v>25</v>
      </c>
      <c r="N158" s="43" t="s">
        <v>7</v>
      </c>
      <c r="O158" s="43" t="s">
        <v>89</v>
      </c>
      <c r="P158" s="25"/>
      <c r="Q158" s="43" t="s">
        <v>5</v>
      </c>
      <c r="R158" s="43" t="s">
        <v>91</v>
      </c>
      <c r="T158" s="43" t="s">
        <v>10</v>
      </c>
    </row>
    <row r="159" spans="2:20" x14ac:dyDescent="0.3">
      <c r="B159" s="3">
        <v>2016</v>
      </c>
      <c r="C159" s="51">
        <f t="shared" ref="C159:O162" si="64">C141+C147+C153</f>
        <v>281.71125988800048</v>
      </c>
      <c r="D159" s="51">
        <f t="shared" si="64"/>
        <v>0</v>
      </c>
      <c r="E159" s="51">
        <f t="shared" si="64"/>
        <v>1.4970319768567157E-2</v>
      </c>
      <c r="F159" s="51">
        <f t="shared" si="64"/>
        <v>0</v>
      </c>
      <c r="G159" s="51">
        <f t="shared" si="64"/>
        <v>0</v>
      </c>
      <c r="H159" s="51">
        <f t="shared" si="64"/>
        <v>0</v>
      </c>
      <c r="I159" s="51">
        <f t="shared" si="64"/>
        <v>7.2911440796656943E-2</v>
      </c>
      <c r="J159" s="51">
        <f t="shared" si="64"/>
        <v>0</v>
      </c>
      <c r="K159" s="51">
        <f t="shared" si="64"/>
        <v>0</v>
      </c>
      <c r="L159" s="51">
        <f t="shared" si="64"/>
        <v>0.36824754912149726</v>
      </c>
      <c r="M159" s="51">
        <f t="shared" si="64"/>
        <v>0</v>
      </c>
      <c r="N159" s="51">
        <f t="shared" si="64"/>
        <v>5.9887859519957903E-4</v>
      </c>
      <c r="O159" s="51">
        <f t="shared" si="64"/>
        <v>0</v>
      </c>
      <c r="P159" s="97"/>
      <c r="Q159" s="39">
        <f>G159+N159</f>
        <v>5.9887859519957903E-4</v>
      </c>
      <c r="R159" s="5">
        <f>SUM(K159:L159)</f>
        <v>0.36824754912149726</v>
      </c>
      <c r="T159" s="5">
        <f>SUM(C159:O159)</f>
        <v>282.16798807628243</v>
      </c>
    </row>
    <row r="160" spans="2:20" x14ac:dyDescent="0.3">
      <c r="B160" s="3">
        <v>2030</v>
      </c>
      <c r="C160" s="51">
        <f t="shared" ref="C160:N160" si="65">C142+C148+C154</f>
        <v>195.7902582430311</v>
      </c>
      <c r="D160" s="51">
        <f t="shared" si="65"/>
        <v>0</v>
      </c>
      <c r="E160" s="51">
        <f t="shared" si="65"/>
        <v>7.7449749318126593E-2</v>
      </c>
      <c r="F160" s="51">
        <f t="shared" si="65"/>
        <v>0</v>
      </c>
      <c r="G160" s="51">
        <f t="shared" si="65"/>
        <v>0</v>
      </c>
      <c r="H160" s="51">
        <f t="shared" si="65"/>
        <v>0</v>
      </c>
      <c r="I160" s="51">
        <f t="shared" si="65"/>
        <v>0.40423642750529981</v>
      </c>
      <c r="J160" s="51">
        <f t="shared" si="65"/>
        <v>0</v>
      </c>
      <c r="K160" s="51">
        <f t="shared" si="65"/>
        <v>0</v>
      </c>
      <c r="L160" s="51">
        <f t="shared" si="65"/>
        <v>0.58693942023058954</v>
      </c>
      <c r="M160" s="51">
        <f t="shared" si="65"/>
        <v>0</v>
      </c>
      <c r="N160" s="51">
        <f t="shared" si="65"/>
        <v>1.1252362404719591E-3</v>
      </c>
      <c r="O160" s="51">
        <f t="shared" si="64"/>
        <v>0</v>
      </c>
      <c r="P160" s="97"/>
      <c r="Q160" s="39">
        <f>G160+N160</f>
        <v>1.1252362404719591E-3</v>
      </c>
      <c r="R160" s="5">
        <f>SUM(K160:L160)</f>
        <v>0.58693942023058954</v>
      </c>
      <c r="T160" s="5">
        <f t="shared" ref="T160:T162" si="66">SUM(C160:O160)</f>
        <v>196.86000907632561</v>
      </c>
    </row>
    <row r="161" spans="2:20" x14ac:dyDescent="0.3">
      <c r="B161" s="3">
        <v>2040</v>
      </c>
      <c r="C161" s="51">
        <f t="shared" ref="C161:N161" si="67">C143+C149+C155</f>
        <v>64.766605857398588</v>
      </c>
      <c r="D161" s="51">
        <f t="shared" si="67"/>
        <v>0</v>
      </c>
      <c r="E161" s="51">
        <f t="shared" si="67"/>
        <v>0.34109155442930061</v>
      </c>
      <c r="F161" s="51">
        <f t="shared" si="67"/>
        <v>0</v>
      </c>
      <c r="G161" s="51">
        <f t="shared" si="67"/>
        <v>0</v>
      </c>
      <c r="H161" s="51">
        <f t="shared" si="67"/>
        <v>0</v>
      </c>
      <c r="I161" s="51">
        <f t="shared" si="67"/>
        <v>0.40507290873820023</v>
      </c>
      <c r="J161" s="51">
        <f t="shared" si="67"/>
        <v>0</v>
      </c>
      <c r="K161" s="51">
        <f t="shared" si="67"/>
        <v>0</v>
      </c>
      <c r="L161" s="51">
        <f t="shared" si="67"/>
        <v>0.59247837957904159</v>
      </c>
      <c r="M161" s="51">
        <f t="shared" si="67"/>
        <v>0</v>
      </c>
      <c r="N161" s="51">
        <f t="shared" si="67"/>
        <v>1.2081086602837537E-3</v>
      </c>
      <c r="O161" s="51">
        <f t="shared" si="64"/>
        <v>0</v>
      </c>
      <c r="P161" s="97"/>
      <c r="Q161" s="39">
        <f>G161+N161</f>
        <v>1.2081086602837537E-3</v>
      </c>
      <c r="R161" s="5">
        <f>SUM(K161:L161)</f>
        <v>0.59247837957904159</v>
      </c>
      <c r="T161" s="5">
        <f t="shared" si="66"/>
        <v>66.106456808805405</v>
      </c>
    </row>
    <row r="162" spans="2:20" x14ac:dyDescent="0.3">
      <c r="B162" s="3">
        <v>2050</v>
      </c>
      <c r="C162" s="51">
        <f t="shared" ref="C162:N162" si="68">C144+C150+C156</f>
        <v>13.898134432063339</v>
      </c>
      <c r="D162" s="51">
        <f t="shared" si="68"/>
        <v>0</v>
      </c>
      <c r="E162" s="51">
        <f t="shared" si="68"/>
        <v>0.6969805286731201</v>
      </c>
      <c r="F162" s="51">
        <f t="shared" si="68"/>
        <v>0</v>
      </c>
      <c r="G162" s="51">
        <f t="shared" si="68"/>
        <v>0</v>
      </c>
      <c r="H162" s="51">
        <f t="shared" si="68"/>
        <v>0</v>
      </c>
      <c r="I162" s="51">
        <f t="shared" si="68"/>
        <v>0</v>
      </c>
      <c r="J162" s="51">
        <f t="shared" si="68"/>
        <v>0</v>
      </c>
      <c r="K162" s="51">
        <f t="shared" si="68"/>
        <v>0</v>
      </c>
      <c r="L162" s="51">
        <f t="shared" si="68"/>
        <v>0.37216784397529018</v>
      </c>
      <c r="M162" s="51">
        <f t="shared" si="68"/>
        <v>0</v>
      </c>
      <c r="N162" s="51">
        <f t="shared" si="68"/>
        <v>1.2104458981731054E-3</v>
      </c>
      <c r="O162" s="51">
        <f t="shared" si="64"/>
        <v>0</v>
      </c>
      <c r="P162" s="97"/>
      <c r="Q162" s="39">
        <f>G162+N162</f>
        <v>1.2104458981731054E-3</v>
      </c>
      <c r="R162" s="5">
        <f>SUM(K162:L162)</f>
        <v>0.37216784397529018</v>
      </c>
      <c r="T162" s="5">
        <f t="shared" si="66"/>
        <v>14.968493250609923</v>
      </c>
    </row>
    <row r="163" spans="2:20" x14ac:dyDescent="0.3"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28"/>
    </row>
    <row r="164" spans="2:20" x14ac:dyDescent="0.3">
      <c r="B164" s="3">
        <v>2016</v>
      </c>
      <c r="C164" s="23">
        <f t="shared" ref="C164:O167" si="69">IFERROR(C159/$T159,0)</f>
        <v>0.9983813607227533</v>
      </c>
      <c r="D164" s="23">
        <f t="shared" si="69"/>
        <v>0</v>
      </c>
      <c r="E164" s="23">
        <f t="shared" si="69"/>
        <v>5.3054635540442739E-5</v>
      </c>
      <c r="F164" s="23">
        <f t="shared" si="69"/>
        <v>0</v>
      </c>
      <c r="G164" s="23">
        <f t="shared" si="69"/>
        <v>0</v>
      </c>
      <c r="H164" s="23">
        <f t="shared" si="69"/>
        <v>0</v>
      </c>
      <c r="I164" s="23">
        <f t="shared" si="69"/>
        <v>2.5839728061903951E-4</v>
      </c>
      <c r="J164" s="23">
        <f t="shared" si="69"/>
        <v>0</v>
      </c>
      <c r="K164" s="23">
        <f t="shared" si="69"/>
        <v>0</v>
      </c>
      <c r="L164" s="23">
        <f t="shared" si="69"/>
        <v>1.3050649424552858E-3</v>
      </c>
      <c r="M164" s="23">
        <f t="shared" si="69"/>
        <v>0</v>
      </c>
      <c r="N164" s="23">
        <f t="shared" si="69"/>
        <v>2.1224186318317433E-6</v>
      </c>
      <c r="O164" s="23">
        <f t="shared" si="69"/>
        <v>0</v>
      </c>
      <c r="P164" s="26"/>
      <c r="Q164" s="7">
        <f t="shared" ref="Q164:R167" si="70">Q159/$T159</f>
        <v>2.1224186318317433E-6</v>
      </c>
      <c r="R164" s="7">
        <f t="shared" si="70"/>
        <v>1.3050649424552858E-3</v>
      </c>
      <c r="T164" s="8">
        <f>SUM(C164:O164)</f>
        <v>0.99999999999999989</v>
      </c>
    </row>
    <row r="165" spans="2:20" x14ac:dyDescent="0.3">
      <c r="B165" s="3">
        <v>2030</v>
      </c>
      <c r="C165" s="23">
        <f t="shared" si="69"/>
        <v>0.99456593119997394</v>
      </c>
      <c r="D165" s="23">
        <f t="shared" si="69"/>
        <v>0</v>
      </c>
      <c r="E165" s="23">
        <f t="shared" si="69"/>
        <v>3.9342550923127383E-4</v>
      </c>
      <c r="F165" s="23">
        <f t="shared" si="69"/>
        <v>0</v>
      </c>
      <c r="G165" s="23">
        <f t="shared" si="69"/>
        <v>0</v>
      </c>
      <c r="H165" s="23">
        <f t="shared" si="69"/>
        <v>0</v>
      </c>
      <c r="I165" s="23">
        <f t="shared" si="69"/>
        <v>2.0534207501157393E-3</v>
      </c>
      <c r="J165" s="23">
        <f t="shared" si="69"/>
        <v>0</v>
      </c>
      <c r="K165" s="23">
        <f t="shared" si="69"/>
        <v>0</v>
      </c>
      <c r="L165" s="23">
        <f t="shared" si="69"/>
        <v>2.981506619777835E-3</v>
      </c>
      <c r="M165" s="23">
        <f t="shared" si="69"/>
        <v>0</v>
      </c>
      <c r="N165" s="23">
        <f t="shared" si="69"/>
        <v>5.7159209011094173E-6</v>
      </c>
      <c r="O165" s="23">
        <f t="shared" si="69"/>
        <v>0</v>
      </c>
      <c r="P165" s="26"/>
      <c r="Q165" s="7">
        <f t="shared" si="70"/>
        <v>5.7159209011094173E-6</v>
      </c>
      <c r="R165" s="7">
        <f t="shared" si="70"/>
        <v>2.981506619777835E-3</v>
      </c>
      <c r="T165" s="8">
        <f t="shared" ref="T165:T167" si="71">SUM(C165:O165)</f>
        <v>0.99999999999999989</v>
      </c>
    </row>
    <row r="166" spans="2:20" x14ac:dyDescent="0.3">
      <c r="B166" s="3">
        <v>2040</v>
      </c>
      <c r="C166" s="23">
        <f t="shared" si="69"/>
        <v>0.97973192005613063</v>
      </c>
      <c r="D166" s="23">
        <f t="shared" si="69"/>
        <v>0</v>
      </c>
      <c r="E166" s="23">
        <f t="shared" si="69"/>
        <v>5.1597313015249533E-3</v>
      </c>
      <c r="F166" s="23">
        <f t="shared" si="69"/>
        <v>0</v>
      </c>
      <c r="G166" s="23">
        <f t="shared" si="69"/>
        <v>0</v>
      </c>
      <c r="H166" s="23">
        <f t="shared" si="69"/>
        <v>0</v>
      </c>
      <c r="I166" s="23">
        <f t="shared" si="69"/>
        <v>6.1275846307987936E-3</v>
      </c>
      <c r="J166" s="23">
        <f t="shared" si="69"/>
        <v>0</v>
      </c>
      <c r="K166" s="23">
        <f t="shared" si="69"/>
        <v>0</v>
      </c>
      <c r="L166" s="23">
        <f t="shared" si="69"/>
        <v>8.9624888124411363E-3</v>
      </c>
      <c r="M166" s="23">
        <f t="shared" si="69"/>
        <v>0</v>
      </c>
      <c r="N166" s="23">
        <f t="shared" si="69"/>
        <v>1.8275199104648327E-5</v>
      </c>
      <c r="O166" s="23">
        <f t="shared" si="69"/>
        <v>0</v>
      </c>
      <c r="P166" s="26"/>
      <c r="Q166" s="7">
        <f t="shared" si="70"/>
        <v>1.8275199104648327E-5</v>
      </c>
      <c r="R166" s="7">
        <f t="shared" si="70"/>
        <v>8.9624888124411363E-3</v>
      </c>
      <c r="T166" s="8">
        <f t="shared" si="71"/>
        <v>1</v>
      </c>
    </row>
    <row r="167" spans="2:20" x14ac:dyDescent="0.3">
      <c r="B167" s="3">
        <v>2050</v>
      </c>
      <c r="C167" s="23">
        <f t="shared" si="69"/>
        <v>0.92849254760475175</v>
      </c>
      <c r="D167" s="23">
        <f t="shared" si="69"/>
        <v>0</v>
      </c>
      <c r="E167" s="23">
        <f t="shared" si="69"/>
        <v>4.6563172191343989E-2</v>
      </c>
      <c r="F167" s="23">
        <f t="shared" si="69"/>
        <v>0</v>
      </c>
      <c r="G167" s="23">
        <f t="shared" si="69"/>
        <v>0</v>
      </c>
      <c r="H167" s="23">
        <f t="shared" si="69"/>
        <v>0</v>
      </c>
      <c r="I167" s="23">
        <f t="shared" si="69"/>
        <v>0</v>
      </c>
      <c r="J167" s="23">
        <f t="shared" si="69"/>
        <v>0</v>
      </c>
      <c r="K167" s="23">
        <f t="shared" si="69"/>
        <v>0</v>
      </c>
      <c r="L167" s="23">
        <f t="shared" si="69"/>
        <v>2.486341395518386E-2</v>
      </c>
      <c r="M167" s="23">
        <f t="shared" si="69"/>
        <v>0</v>
      </c>
      <c r="N167" s="23">
        <f t="shared" si="69"/>
        <v>8.086624872037693E-5</v>
      </c>
      <c r="O167" s="23">
        <f t="shared" si="69"/>
        <v>0</v>
      </c>
      <c r="P167" s="26"/>
      <c r="Q167" s="7">
        <f t="shared" si="70"/>
        <v>8.086624872037693E-5</v>
      </c>
      <c r="R167" s="7">
        <f t="shared" si="70"/>
        <v>2.486341395518386E-2</v>
      </c>
      <c r="T167" s="8">
        <f t="shared" si="71"/>
        <v>1</v>
      </c>
    </row>
    <row r="168" spans="2:20" s="11" customFormat="1" x14ac:dyDescent="0.3">
      <c r="C168" s="12"/>
      <c r="D168" s="12"/>
      <c r="E168" s="14"/>
      <c r="F168" s="14"/>
      <c r="G168" s="14"/>
      <c r="H168" s="16"/>
      <c r="I168" s="14"/>
      <c r="J168" s="14"/>
      <c r="K168" s="16"/>
      <c r="L168" s="14"/>
      <c r="M168" s="16"/>
      <c r="N168" s="20"/>
      <c r="O168" s="20"/>
      <c r="P168" s="20"/>
    </row>
    <row r="169" spans="2:20" s="9" customFormat="1" ht="21" x14ac:dyDescent="0.4">
      <c r="B169" s="10" t="s">
        <v>18</v>
      </c>
    </row>
    <row r="170" spans="2:20" s="32" customFormat="1" x14ac:dyDescent="0.3">
      <c r="B170" s="43"/>
      <c r="C170" s="40"/>
      <c r="D170" s="40"/>
      <c r="E170" s="40"/>
      <c r="P170" s="58"/>
    </row>
    <row r="171" spans="2:20" s="32" customFormat="1" ht="15.75" customHeight="1" x14ac:dyDescent="0.3">
      <c r="B171" s="33" t="s">
        <v>21</v>
      </c>
      <c r="C171" s="93">
        <f>Inputs_Summary!E27</f>
        <v>547</v>
      </c>
      <c r="D171" s="93">
        <f>Inputs_Summary!F27</f>
        <v>0</v>
      </c>
      <c r="E171" s="93">
        <f>Inputs_Summary!G27</f>
        <v>0</v>
      </c>
      <c r="F171" s="93">
        <f>Inputs_Summary!H27</f>
        <v>0</v>
      </c>
      <c r="G171" s="93">
        <f>Inputs_Summary!I27</f>
        <v>0</v>
      </c>
      <c r="H171" s="93">
        <f>Inputs_Summary!J27</f>
        <v>0</v>
      </c>
      <c r="I171" s="93">
        <f>Inputs_Summary!K27</f>
        <v>0</v>
      </c>
      <c r="J171" s="93">
        <f>Inputs_Summary!L27</f>
        <v>0</v>
      </c>
      <c r="K171" s="93">
        <f>Inputs_Summary!M27</f>
        <v>0</v>
      </c>
      <c r="L171" s="93">
        <f>Inputs_Summary!N27</f>
        <v>0</v>
      </c>
      <c r="M171" s="93">
        <f>Inputs_Summary!O27</f>
        <v>0</v>
      </c>
      <c r="N171" s="93">
        <f>Inputs_Summary!P27</f>
        <v>0</v>
      </c>
      <c r="O171" s="93">
        <f>Inputs_Summary!Q27</f>
        <v>0</v>
      </c>
      <c r="P171" s="99"/>
    </row>
    <row r="172" spans="2:20" s="32" customFormat="1" x14ac:dyDescent="0.3">
      <c r="B172" s="33" t="s">
        <v>19</v>
      </c>
      <c r="C172" s="93">
        <f>Inputs_Summary!E28</f>
        <v>650</v>
      </c>
      <c r="D172" s="93">
        <f>Inputs_Summary!F28</f>
        <v>650</v>
      </c>
      <c r="E172" s="93">
        <f>Inputs_Summary!G28</f>
        <v>0</v>
      </c>
      <c r="F172" s="93">
        <f>Inputs_Summary!H28</f>
        <v>161</v>
      </c>
      <c r="G172" s="93">
        <f>Inputs_Summary!I28</f>
        <v>0</v>
      </c>
      <c r="H172" s="93">
        <f>Inputs_Summary!J28</f>
        <v>0</v>
      </c>
      <c r="I172" s="93">
        <f>Inputs_Summary!K28</f>
        <v>0</v>
      </c>
      <c r="J172" s="93">
        <f>Inputs_Summary!L28</f>
        <v>0</v>
      </c>
      <c r="K172" s="93">
        <f>Inputs_Summary!M28</f>
        <v>0</v>
      </c>
      <c r="L172" s="93">
        <f>Inputs_Summary!N28</f>
        <v>0</v>
      </c>
      <c r="M172" s="93">
        <f>Inputs_Summary!O28</f>
        <v>0</v>
      </c>
      <c r="N172" s="93">
        <f>Inputs_Summary!P28</f>
        <v>201</v>
      </c>
      <c r="O172" s="93">
        <f>Inputs_Summary!Q28</f>
        <v>0</v>
      </c>
      <c r="P172" s="99"/>
    </row>
    <row r="173" spans="2:20" s="32" customFormat="1" x14ac:dyDescent="0.3">
      <c r="B173" s="33" t="s">
        <v>20</v>
      </c>
      <c r="C173" s="94">
        <f>Inputs_Summary!E29</f>
        <v>0.26832454873646205</v>
      </c>
      <c r="D173" s="94">
        <f>Inputs_Summary!F29</f>
        <v>0.12287246155234656</v>
      </c>
      <c r="E173" s="94">
        <f>Inputs_Summary!G29</f>
        <v>0.95</v>
      </c>
      <c r="F173" s="94">
        <f>Inputs_Summary!H29</f>
        <v>2.5</v>
      </c>
      <c r="G173" s="94">
        <f>Inputs_Summary!I29</f>
        <v>0.3</v>
      </c>
      <c r="H173" s="94">
        <f>Inputs_Summary!J29</f>
        <v>0.93</v>
      </c>
      <c r="I173" s="94">
        <f>Inputs_Summary!K29</f>
        <v>3.3</v>
      </c>
      <c r="J173" s="94">
        <f>Inputs_Summary!L29</f>
        <v>1.7</v>
      </c>
      <c r="K173" s="94">
        <f>Inputs_Summary!M29</f>
        <v>1.107</v>
      </c>
      <c r="L173" s="94">
        <f>Inputs_Summary!N29</f>
        <v>1.65</v>
      </c>
      <c r="M173" s="94">
        <f>Inputs_Summary!O29</f>
        <v>1.51</v>
      </c>
      <c r="N173" s="94">
        <f>Inputs_Summary!P29</f>
        <v>0.05</v>
      </c>
      <c r="O173" s="94">
        <f>Inputs_Summary!Q29</f>
        <v>0</v>
      </c>
      <c r="P173" s="100"/>
    </row>
    <row r="174" spans="2:20" s="58" customFormat="1" x14ac:dyDescent="0.3">
      <c r="B174" s="67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</row>
    <row r="175" spans="2:20" ht="28.8" x14ac:dyDescent="0.3">
      <c r="B175" s="43" t="s">
        <v>45</v>
      </c>
      <c r="C175" s="43" t="s">
        <v>0</v>
      </c>
      <c r="D175" s="43" t="s">
        <v>1</v>
      </c>
      <c r="E175" s="43" t="s">
        <v>28</v>
      </c>
      <c r="F175" s="2" t="s">
        <v>29</v>
      </c>
      <c r="G175" s="2" t="s">
        <v>6</v>
      </c>
      <c r="H175" s="43" t="s">
        <v>2</v>
      </c>
      <c r="I175" s="43" t="s">
        <v>3</v>
      </c>
      <c r="J175" s="43" t="s">
        <v>4</v>
      </c>
      <c r="K175" s="43" t="s">
        <v>9</v>
      </c>
      <c r="L175" s="43" t="s">
        <v>8</v>
      </c>
      <c r="M175" s="43" t="s">
        <v>25</v>
      </c>
      <c r="N175" s="43" t="s">
        <v>7</v>
      </c>
      <c r="O175" s="43" t="s">
        <v>89</v>
      </c>
      <c r="P175" s="25"/>
      <c r="Q175" s="43" t="s">
        <v>5</v>
      </c>
      <c r="R175" s="43" t="s">
        <v>91</v>
      </c>
      <c r="T175" s="43" t="s">
        <v>10</v>
      </c>
    </row>
    <row r="176" spans="2:20" x14ac:dyDescent="0.3">
      <c r="B176" s="3">
        <v>2016</v>
      </c>
      <c r="C176" s="19">
        <f t="shared" ref="C176:O176" si="72">((C$172+C$171)*C4+C$173*C34*1000)/1000000</f>
        <v>95.4358045170775</v>
      </c>
      <c r="D176" s="19">
        <f t="shared" si="72"/>
        <v>3.0206166863931165</v>
      </c>
      <c r="E176" s="19">
        <f t="shared" si="72"/>
        <v>0.71827291818882821</v>
      </c>
      <c r="F176" s="19">
        <f t="shared" si="72"/>
        <v>5.6112431781664789</v>
      </c>
      <c r="G176" s="19">
        <f t="shared" si="72"/>
        <v>4.7397372806457199</v>
      </c>
      <c r="H176" s="19">
        <f t="shared" si="72"/>
        <v>3.7406611452973988</v>
      </c>
      <c r="I176" s="19">
        <f t="shared" si="72"/>
        <v>2.7313107545794142</v>
      </c>
      <c r="J176" s="19">
        <f t="shared" si="72"/>
        <v>4.4864465988215327</v>
      </c>
      <c r="K176" s="19">
        <f t="shared" si="72"/>
        <v>0</v>
      </c>
      <c r="L176" s="19">
        <f t="shared" si="72"/>
        <v>2.6131623050841757</v>
      </c>
      <c r="M176" s="19">
        <f t="shared" si="72"/>
        <v>0</v>
      </c>
      <c r="N176" s="19">
        <f t="shared" si="72"/>
        <v>0.46729964879989472</v>
      </c>
      <c r="O176" s="19">
        <f t="shared" si="72"/>
        <v>0</v>
      </c>
      <c r="P176" s="62"/>
      <c r="Q176" s="39">
        <f>G176+N176</f>
        <v>5.2070369294456142</v>
      </c>
      <c r="R176" s="5">
        <f>SUM(K176:L176)</f>
        <v>2.6131623050841757</v>
      </c>
      <c r="T176" s="5">
        <f>SUM(C176:O176)</f>
        <v>123.56455503305405</v>
      </c>
    </row>
    <row r="177" spans="2:23" x14ac:dyDescent="0.3">
      <c r="B177" s="3">
        <v>2030</v>
      </c>
      <c r="C177" s="19">
        <f t="shared" ref="C177:O177" si="73">((C$172+C$171)*C5+C$173*C35*1000)/1000000</f>
        <v>61.252432668185868</v>
      </c>
      <c r="D177" s="19">
        <f t="shared" si="73"/>
        <v>3.0006722040857499</v>
      </c>
      <c r="E177" s="19">
        <f t="shared" si="73"/>
        <v>2.1152748162642965</v>
      </c>
      <c r="F177" s="19">
        <f t="shared" si="73"/>
        <v>1.0589330975895188</v>
      </c>
      <c r="G177" s="19">
        <f t="shared" si="73"/>
        <v>3.7490195118552689</v>
      </c>
      <c r="H177" s="19">
        <f t="shared" si="73"/>
        <v>3.8939069374889184</v>
      </c>
      <c r="I177" s="19">
        <f t="shared" si="73"/>
        <v>2.7735155774939733</v>
      </c>
      <c r="J177" s="19">
        <f t="shared" si="73"/>
        <v>4.459737978462285</v>
      </c>
      <c r="K177" s="19">
        <f t="shared" si="73"/>
        <v>0</v>
      </c>
      <c r="L177" s="19">
        <f t="shared" si="73"/>
        <v>2.5766094351597526</v>
      </c>
      <c r="M177" s="19">
        <f t="shared" si="73"/>
        <v>0</v>
      </c>
      <c r="N177" s="19">
        <f t="shared" si="73"/>
        <v>0.44920775274918989</v>
      </c>
      <c r="O177" s="19">
        <f t="shared" si="73"/>
        <v>0</v>
      </c>
      <c r="P177" s="62"/>
      <c r="Q177" s="39">
        <f>G177+N177</f>
        <v>4.1982272646044585</v>
      </c>
      <c r="R177" s="5">
        <f>SUM(K177:L177)</f>
        <v>2.5766094351597526</v>
      </c>
      <c r="T177" s="5">
        <f t="shared" ref="T177:T179" si="74">SUM(C177:O177)</f>
        <v>85.329309979334823</v>
      </c>
    </row>
    <row r="178" spans="2:23" x14ac:dyDescent="0.3">
      <c r="B178" s="3">
        <v>2040</v>
      </c>
      <c r="C178" s="19">
        <f t="shared" ref="C178:O178" si="75">((C$172+C$171)*C6+C$173*C36*1000)/1000000</f>
        <v>18.533972407651135</v>
      </c>
      <c r="D178" s="19">
        <f t="shared" si="75"/>
        <v>2.9228227632083184</v>
      </c>
      <c r="E178" s="19">
        <f t="shared" si="75"/>
        <v>2.1284504572222791</v>
      </c>
      <c r="F178" s="19">
        <f t="shared" si="75"/>
        <v>0.3551224705774087</v>
      </c>
      <c r="G178" s="19">
        <f t="shared" si="75"/>
        <v>3.4944768954192664</v>
      </c>
      <c r="H178" s="19">
        <f t="shared" si="75"/>
        <v>0</v>
      </c>
      <c r="I178" s="19">
        <f t="shared" si="75"/>
        <v>2.7837715763146842</v>
      </c>
      <c r="J178" s="19">
        <f t="shared" si="75"/>
        <v>1.3196804575884293</v>
      </c>
      <c r="K178" s="19">
        <f t="shared" si="75"/>
        <v>0</v>
      </c>
      <c r="L178" s="19">
        <f t="shared" si="75"/>
        <v>2.6081288459043526</v>
      </c>
      <c r="M178" s="19">
        <f t="shared" si="75"/>
        <v>0</v>
      </c>
      <c r="N178" s="19">
        <f t="shared" si="75"/>
        <v>0.46324596938832791</v>
      </c>
      <c r="O178" s="19">
        <f t="shared" si="75"/>
        <v>0</v>
      </c>
      <c r="P178" s="62"/>
      <c r="Q178" s="39">
        <f>G178+N178</f>
        <v>3.9577228648075944</v>
      </c>
      <c r="R178" s="5">
        <f>SUM(K178:L178)</f>
        <v>2.6081288459043526</v>
      </c>
      <c r="T178" s="5">
        <f t="shared" si="74"/>
        <v>34.609671843274199</v>
      </c>
    </row>
    <row r="179" spans="2:23" x14ac:dyDescent="0.3">
      <c r="B179" s="3">
        <v>2050</v>
      </c>
      <c r="C179" s="19">
        <f t="shared" ref="C179:O179" si="76">((C$172+C$171)*C7+C$173*C37*1000)/1000000</f>
        <v>0.80198999999999998</v>
      </c>
      <c r="D179" s="19">
        <f t="shared" si="76"/>
        <v>0</v>
      </c>
      <c r="E179" s="19">
        <f t="shared" si="76"/>
        <v>2.1453509968419495</v>
      </c>
      <c r="F179" s="19">
        <f t="shared" si="76"/>
        <v>0</v>
      </c>
      <c r="G179" s="19">
        <f t="shared" si="76"/>
        <v>3.347400914974759</v>
      </c>
      <c r="H179" s="19">
        <f t="shared" si="76"/>
        <v>0</v>
      </c>
      <c r="I179" s="19">
        <f t="shared" si="76"/>
        <v>0</v>
      </c>
      <c r="J179" s="19">
        <f t="shared" si="76"/>
        <v>0</v>
      </c>
      <c r="K179" s="19">
        <f t="shared" si="76"/>
        <v>0</v>
      </c>
      <c r="L179" s="19">
        <f t="shared" si="76"/>
        <v>2.7051847689833863</v>
      </c>
      <c r="M179" s="19">
        <f t="shared" si="76"/>
        <v>0</v>
      </c>
      <c r="N179" s="19">
        <f t="shared" si="76"/>
        <v>0.4618890872380581</v>
      </c>
      <c r="O179" s="19">
        <f t="shared" si="76"/>
        <v>0</v>
      </c>
      <c r="P179" s="62"/>
      <c r="Q179" s="39">
        <f>G179+N179</f>
        <v>3.8092900022128173</v>
      </c>
      <c r="R179" s="5">
        <f>SUM(K179:L179)</f>
        <v>2.7051847689833863</v>
      </c>
      <c r="T179" s="5">
        <f t="shared" si="74"/>
        <v>9.4618157680381518</v>
      </c>
    </row>
    <row r="180" spans="2:23" x14ac:dyDescent="0.3">
      <c r="B180" s="43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69"/>
      <c r="Q180" s="5"/>
      <c r="R180" s="5"/>
      <c r="S180" s="5"/>
      <c r="T180" s="5"/>
    </row>
    <row r="181" spans="2:23" s="32" customFormat="1" ht="15.75" customHeight="1" x14ac:dyDescent="0.3">
      <c r="B181" s="33" t="s">
        <v>21</v>
      </c>
      <c r="C181" s="93">
        <f>Inputs_Summary!E32</f>
        <v>4602</v>
      </c>
      <c r="D181" s="93">
        <f>Inputs_Summary!F32</f>
        <v>6454.9045250562804</v>
      </c>
      <c r="E181" s="93">
        <f>Inputs_Summary!G32</f>
        <v>901.10972649676557</v>
      </c>
      <c r="F181" s="93">
        <f>Inputs_Summary!H32</f>
        <v>794.35459770843181</v>
      </c>
      <c r="G181" s="93">
        <f>Inputs_Summary!I32</f>
        <v>0</v>
      </c>
      <c r="H181" s="93">
        <f>Inputs_Summary!J32</f>
        <v>0</v>
      </c>
      <c r="I181" s="93">
        <f>Inputs_Summary!K32</f>
        <v>0</v>
      </c>
      <c r="J181" s="93">
        <f>Inputs_Summary!L32</f>
        <v>0</v>
      </c>
      <c r="K181" s="93">
        <f>Inputs_Summary!M32</f>
        <v>2810</v>
      </c>
      <c r="L181" s="93">
        <f>Inputs_Summary!N32</f>
        <v>0</v>
      </c>
      <c r="M181" s="93">
        <f>Inputs_Summary!O32</f>
        <v>0</v>
      </c>
      <c r="N181" s="93">
        <f>Inputs_Summary!P32</f>
        <v>2328.2524449730454</v>
      </c>
      <c r="O181" s="93">
        <f>Inputs_Summary!Q32</f>
        <v>0</v>
      </c>
      <c r="P181" s="99"/>
    </row>
    <row r="182" spans="2:23" s="32" customFormat="1" x14ac:dyDescent="0.3">
      <c r="B182" s="33" t="s">
        <v>19</v>
      </c>
      <c r="C182" s="93">
        <f>Inputs_Summary!E33</f>
        <v>924</v>
      </c>
      <c r="D182" s="93">
        <f>Inputs_Summary!F33</f>
        <v>968.06859205776175</v>
      </c>
      <c r="E182" s="93">
        <f>Inputs_Summary!G33</f>
        <v>165.17328519855596</v>
      </c>
      <c r="F182" s="93">
        <f>Inputs_Summary!H33</f>
        <v>160.79783393501805</v>
      </c>
      <c r="G182" s="93">
        <f>Inputs_Summary!I33</f>
        <v>0</v>
      </c>
      <c r="H182" s="93">
        <f>Inputs_Summary!J33</f>
        <v>0</v>
      </c>
      <c r="I182" s="93">
        <f>Inputs_Summary!K33</f>
        <v>0</v>
      </c>
      <c r="J182" s="93">
        <f>Inputs_Summary!L33</f>
        <v>0</v>
      </c>
      <c r="K182" s="93">
        <f>Inputs_Summary!M33</f>
        <v>2373</v>
      </c>
      <c r="L182" s="93">
        <f>Inputs_Summary!N33</f>
        <v>0</v>
      </c>
      <c r="M182" s="93">
        <f>Inputs_Summary!O33</f>
        <v>0</v>
      </c>
      <c r="N182" s="93">
        <f>Inputs_Summary!P33</f>
        <v>201.27075812274367</v>
      </c>
      <c r="O182" s="93">
        <f>Inputs_Summary!Q33</f>
        <v>0</v>
      </c>
      <c r="P182" s="99"/>
    </row>
    <row r="183" spans="2:23" s="32" customFormat="1" x14ac:dyDescent="0.3">
      <c r="B183" s="33" t="s">
        <v>20</v>
      </c>
      <c r="C183" s="93">
        <f>Inputs_Summary!E34</f>
        <v>0.36168632057761729</v>
      </c>
      <c r="D183" s="93">
        <f>Inputs_Summary!F34</f>
        <v>0.12287246155234656</v>
      </c>
      <c r="E183" s="93">
        <f>Inputs_Summary!G34</f>
        <v>1.1311272563176895</v>
      </c>
      <c r="F183" s="93">
        <f>Inputs_Summary!H34</f>
        <v>1.730256498194946</v>
      </c>
      <c r="G183" s="93">
        <f>Inputs_Summary!I34</f>
        <v>1.24</v>
      </c>
      <c r="H183" s="93">
        <f>Inputs_Summary!J34</f>
        <v>0.70507456548359604</v>
      </c>
      <c r="I183" s="93">
        <f>Inputs_Summary!K34</f>
        <v>2.2907692307692309</v>
      </c>
      <c r="J183" s="93">
        <f>Inputs_Summary!L34</f>
        <v>0.79657730380457292</v>
      </c>
      <c r="K183" s="93">
        <f>Inputs_Summary!M34</f>
        <v>0.09</v>
      </c>
      <c r="L183" s="93">
        <f>Inputs_Summary!N34</f>
        <v>1.61</v>
      </c>
      <c r="M183" s="93">
        <f>Inputs_Summary!O34</f>
        <v>1.51</v>
      </c>
      <c r="N183" s="93">
        <f>Inputs_Summary!P34</f>
        <v>0</v>
      </c>
      <c r="O183" s="93">
        <f>Inputs_Summary!Q34</f>
        <v>0</v>
      </c>
      <c r="P183" s="99"/>
    </row>
    <row r="184" spans="2:23" s="58" customFormat="1" x14ac:dyDescent="0.3">
      <c r="B184" s="67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</row>
    <row r="185" spans="2:23" ht="28.8" x14ac:dyDescent="0.3">
      <c r="B185" s="43" t="s">
        <v>46</v>
      </c>
      <c r="C185" s="43" t="s">
        <v>0</v>
      </c>
      <c r="D185" s="43" t="s">
        <v>1</v>
      </c>
      <c r="E185" s="43" t="s">
        <v>28</v>
      </c>
      <c r="F185" s="2" t="s">
        <v>29</v>
      </c>
      <c r="G185" s="2" t="s">
        <v>6</v>
      </c>
      <c r="H185" s="43" t="s">
        <v>2</v>
      </c>
      <c r="I185" s="43" t="s">
        <v>3</v>
      </c>
      <c r="J185" s="43" t="s">
        <v>4</v>
      </c>
      <c r="K185" s="43" t="s">
        <v>9</v>
      </c>
      <c r="L185" s="43" t="s">
        <v>8</v>
      </c>
      <c r="M185" s="43" t="s">
        <v>25</v>
      </c>
      <c r="N185" s="43" t="s">
        <v>7</v>
      </c>
      <c r="O185" s="43" t="s">
        <v>89</v>
      </c>
      <c r="P185" s="25"/>
      <c r="Q185" s="43" t="s">
        <v>5</v>
      </c>
      <c r="R185" s="43" t="s">
        <v>91</v>
      </c>
      <c r="T185" s="43" t="s">
        <v>10</v>
      </c>
    </row>
    <row r="186" spans="2:23" x14ac:dyDescent="0.3">
      <c r="B186" s="3">
        <v>2016</v>
      </c>
      <c r="C186" s="19">
        <f t="shared" ref="C186:O186" si="77">((C$182+C$181)*C10+C$183*C40*1000)/1000000</f>
        <v>5.8476522671001927</v>
      </c>
      <c r="D186" s="19">
        <f t="shared" si="77"/>
        <v>0</v>
      </c>
      <c r="E186" s="19">
        <f t="shared" si="77"/>
        <v>0</v>
      </c>
      <c r="F186" s="19">
        <f t="shared" si="77"/>
        <v>0</v>
      </c>
      <c r="G186" s="19">
        <f t="shared" si="77"/>
        <v>0</v>
      </c>
      <c r="H186" s="19">
        <f t="shared" si="77"/>
        <v>0.33440904252740183</v>
      </c>
      <c r="I186" s="19">
        <f t="shared" si="77"/>
        <v>0.19179026548387781</v>
      </c>
      <c r="J186" s="19">
        <f t="shared" si="77"/>
        <v>0</v>
      </c>
      <c r="K186" s="19">
        <f t="shared" si="77"/>
        <v>0</v>
      </c>
      <c r="L186" s="19">
        <f t="shared" si="77"/>
        <v>6.1986881863953201E-2</v>
      </c>
      <c r="M186" s="19">
        <f t="shared" si="77"/>
        <v>0</v>
      </c>
      <c r="N186" s="19">
        <f t="shared" si="77"/>
        <v>0</v>
      </c>
      <c r="O186" s="19">
        <f t="shared" si="77"/>
        <v>0</v>
      </c>
      <c r="P186" s="62"/>
      <c r="Q186" s="39">
        <f>G186+N186</f>
        <v>0</v>
      </c>
      <c r="R186" s="5">
        <f>SUM(K186:L186)</f>
        <v>6.1986881863953201E-2</v>
      </c>
      <c r="T186" s="5">
        <f>SUM(C186:O186)</f>
        <v>6.4358384569754259</v>
      </c>
    </row>
    <row r="187" spans="2:23" x14ac:dyDescent="0.3">
      <c r="B187" s="3">
        <v>2030</v>
      </c>
      <c r="C187" s="19">
        <f t="shared" ref="C187:O187" si="78">((C$182+C$181)*C11+C$183*C41*1000)/1000000</f>
        <v>76.704291452946194</v>
      </c>
      <c r="D187" s="19">
        <f t="shared" si="78"/>
        <v>0</v>
      </c>
      <c r="E187" s="19">
        <f t="shared" si="78"/>
        <v>0</v>
      </c>
      <c r="F187" s="19">
        <f t="shared" si="78"/>
        <v>0</v>
      </c>
      <c r="G187" s="19">
        <f t="shared" si="78"/>
        <v>0.24789468444915239</v>
      </c>
      <c r="H187" s="19">
        <f t="shared" si="78"/>
        <v>6.3300314902988184</v>
      </c>
      <c r="I187" s="19">
        <f t="shared" si="78"/>
        <v>9.6498564000099645</v>
      </c>
      <c r="J187" s="19">
        <f t="shared" si="78"/>
        <v>1.882536563080158</v>
      </c>
      <c r="K187" s="19">
        <f t="shared" si="78"/>
        <v>0.30655281416782021</v>
      </c>
      <c r="L187" s="19">
        <f t="shared" si="78"/>
        <v>1.648728125950411</v>
      </c>
      <c r="M187" s="19">
        <f t="shared" si="78"/>
        <v>0</v>
      </c>
      <c r="N187" s="19">
        <f t="shared" si="78"/>
        <v>3.3693249065235911</v>
      </c>
      <c r="O187" s="19">
        <f t="shared" si="78"/>
        <v>0</v>
      </c>
      <c r="P187" s="62"/>
      <c r="Q187" s="39">
        <f>G187+N187</f>
        <v>3.6172195909727436</v>
      </c>
      <c r="R187" s="5">
        <f>SUM(K187:L187)</f>
        <v>1.9552809401182312</v>
      </c>
      <c r="T187" s="5">
        <f t="shared" ref="T187:T189" si="79">SUM(C187:O187)</f>
        <v>100.1392164374261</v>
      </c>
    </row>
    <row r="188" spans="2:23" x14ac:dyDescent="0.3">
      <c r="B188" s="3">
        <v>2040</v>
      </c>
      <c r="C188" s="19">
        <f t="shared" ref="C188:O188" si="80">((C$182+C$181)*C12+C$183*C42*1000)/1000000</f>
        <v>75.412219228323465</v>
      </c>
      <c r="D188" s="19">
        <f t="shared" si="80"/>
        <v>0</v>
      </c>
      <c r="E188" s="19">
        <f t="shared" si="80"/>
        <v>0</v>
      </c>
      <c r="F188" s="19">
        <f t="shared" si="80"/>
        <v>0</v>
      </c>
      <c r="G188" s="19">
        <f t="shared" si="80"/>
        <v>0.2490531568997264</v>
      </c>
      <c r="H188" s="19">
        <f t="shared" si="80"/>
        <v>0</v>
      </c>
      <c r="I188" s="19">
        <f t="shared" si="80"/>
        <v>9.6666892861089107</v>
      </c>
      <c r="J188" s="19">
        <f t="shared" si="80"/>
        <v>1.8935054367007482</v>
      </c>
      <c r="K188" s="19">
        <f t="shared" si="80"/>
        <v>0.3066942966888116</v>
      </c>
      <c r="L188" s="19">
        <f t="shared" si="80"/>
        <v>1.6572579523136033</v>
      </c>
      <c r="M188" s="19">
        <f t="shared" si="80"/>
        <v>0</v>
      </c>
      <c r="N188" s="19">
        <f t="shared" si="80"/>
        <v>3.3693249065235911</v>
      </c>
      <c r="O188" s="19">
        <f t="shared" si="80"/>
        <v>0</v>
      </c>
      <c r="P188" s="62"/>
      <c r="Q188" s="39">
        <f>G188+N188</f>
        <v>3.6183780634233176</v>
      </c>
      <c r="R188" s="5">
        <f>SUM(K188:L188)</f>
        <v>1.9639522490024148</v>
      </c>
      <c r="T188" s="5">
        <f t="shared" si="79"/>
        <v>92.554744263558845</v>
      </c>
    </row>
    <row r="189" spans="2:23" x14ac:dyDescent="0.3">
      <c r="B189" s="3">
        <v>2050</v>
      </c>
      <c r="C189" s="19">
        <f t="shared" ref="C189:O189" si="81">((C$182+C$181)*C13+C$183*C43*1000)/1000000</f>
        <v>74.456823903143217</v>
      </c>
      <c r="D189" s="19">
        <f t="shared" si="81"/>
        <v>0</v>
      </c>
      <c r="E189" s="19">
        <f t="shared" si="81"/>
        <v>0</v>
      </c>
      <c r="F189" s="19">
        <f t="shared" si="81"/>
        <v>0</v>
      </c>
      <c r="G189" s="19">
        <f t="shared" si="81"/>
        <v>0.24860242475679017</v>
      </c>
      <c r="H189" s="19">
        <f t="shared" si="81"/>
        <v>0</v>
      </c>
      <c r="I189" s="19">
        <f t="shared" si="81"/>
        <v>0</v>
      </c>
      <c r="J189" s="19">
        <f t="shared" si="81"/>
        <v>0</v>
      </c>
      <c r="K189" s="19">
        <f t="shared" si="81"/>
        <v>0</v>
      </c>
      <c r="L189" s="19">
        <f t="shared" si="81"/>
        <v>0</v>
      </c>
      <c r="M189" s="19">
        <f t="shared" si="81"/>
        <v>0</v>
      </c>
      <c r="N189" s="19">
        <f t="shared" si="81"/>
        <v>3.3693249065235911</v>
      </c>
      <c r="O189" s="19">
        <f t="shared" si="81"/>
        <v>0</v>
      </c>
      <c r="P189" s="62"/>
      <c r="Q189" s="39">
        <f>G189+N189</f>
        <v>3.6179273312803812</v>
      </c>
      <c r="R189" s="5">
        <f>SUM(K189:L189)</f>
        <v>0</v>
      </c>
      <c r="T189" s="5">
        <f t="shared" si="79"/>
        <v>78.074751234423601</v>
      </c>
    </row>
    <row r="190" spans="2:23" x14ac:dyDescent="0.3"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69"/>
      <c r="Q190" s="5"/>
      <c r="R190" s="5"/>
      <c r="S190" s="5"/>
      <c r="T190" s="5"/>
    </row>
    <row r="191" spans="2:23" x14ac:dyDescent="0.3">
      <c r="Q191" s="5"/>
      <c r="R191" s="5"/>
      <c r="S191" s="5"/>
      <c r="T191" s="5"/>
      <c r="W191" s="5"/>
    </row>
    <row r="192" spans="2:23" x14ac:dyDescent="0.3">
      <c r="B192" s="33" t="s">
        <v>21</v>
      </c>
      <c r="C192" s="95">
        <f>Inputs_Summary!E37</f>
        <v>3559.4976938012715</v>
      </c>
      <c r="D192" s="95">
        <f>Inputs_Summary!F37</f>
        <v>6454.9045250562804</v>
      </c>
      <c r="E192" s="95">
        <f>Inputs_Summary!G37</f>
        <v>901.10972649676557</v>
      </c>
      <c r="F192" s="95">
        <f>Inputs_Summary!H37</f>
        <v>794.35459770843181</v>
      </c>
      <c r="G192" s="95">
        <f>Inputs_Summary!I37</f>
        <v>5564</v>
      </c>
      <c r="H192" s="95">
        <f>Inputs_Summary!J37</f>
        <v>1911</v>
      </c>
      <c r="I192" s="95">
        <f>Inputs_Summary!K37</f>
        <v>10206</v>
      </c>
      <c r="J192" s="95">
        <f>Inputs_Summary!L37</f>
        <v>1073</v>
      </c>
      <c r="K192" s="95">
        <f>Inputs_Summary!M37</f>
        <v>1154.0789960129314</v>
      </c>
      <c r="L192" s="95">
        <f>Inputs_Summary!N37</f>
        <v>4395</v>
      </c>
      <c r="M192" s="95">
        <f>Inputs_Summary!O37</f>
        <v>0</v>
      </c>
      <c r="N192" s="95">
        <f>Inputs_Summary!P37</f>
        <v>2328.2524449730454</v>
      </c>
      <c r="O192" s="95">
        <f>Inputs_Summary!Q37</f>
        <v>2512</v>
      </c>
      <c r="P192" s="101"/>
      <c r="Q192" s="5"/>
      <c r="R192" s="5"/>
      <c r="S192" s="5"/>
      <c r="T192" s="5"/>
    </row>
    <row r="193" spans="1:20" x14ac:dyDescent="0.3">
      <c r="B193" s="3">
        <v>2030</v>
      </c>
      <c r="C193" s="95">
        <f>Inputs_Summary!E38</f>
        <v>3559.4976938012715</v>
      </c>
      <c r="D193" s="95">
        <f>Inputs_Summary!F38</f>
        <v>6281</v>
      </c>
      <c r="E193" s="95">
        <f>Inputs_Summary!G38</f>
        <v>901.10972649676557</v>
      </c>
      <c r="F193" s="95">
        <f>Inputs_Summary!H38</f>
        <v>794.35459770843181</v>
      </c>
      <c r="G193" s="95">
        <f>Inputs_Summary!I38</f>
        <v>5564</v>
      </c>
      <c r="H193" s="95">
        <f>Inputs_Summary!J38</f>
        <v>1911</v>
      </c>
      <c r="I193" s="95">
        <f>Inputs_Summary!K38</f>
        <v>8246</v>
      </c>
      <c r="J193" s="95">
        <f>Inputs_Summary!L38</f>
        <v>967</v>
      </c>
      <c r="K193" s="95">
        <f>Inputs_Summary!M38</f>
        <v>1154.0789960129314</v>
      </c>
      <c r="L193" s="95">
        <f>Inputs_Summary!N38</f>
        <v>4395</v>
      </c>
      <c r="M193" s="95">
        <f>Inputs_Summary!O38</f>
        <v>0</v>
      </c>
      <c r="N193" s="95">
        <f>Inputs_Summary!P38</f>
        <v>2328.2524449730454</v>
      </c>
      <c r="O193" s="95">
        <f>Inputs_Summary!Q38</f>
        <v>2512</v>
      </c>
      <c r="P193" s="101"/>
      <c r="Q193" s="5"/>
      <c r="R193" s="5"/>
      <c r="S193" s="5"/>
      <c r="T193" s="5"/>
    </row>
    <row r="194" spans="1:20" x14ac:dyDescent="0.3">
      <c r="B194" s="3">
        <v>2040</v>
      </c>
      <c r="C194" s="95">
        <f>Inputs_Summary!E39</f>
        <v>3559.4976938012715</v>
      </c>
      <c r="D194" s="95">
        <f>Inputs_Summary!F39</f>
        <v>6281</v>
      </c>
      <c r="E194" s="95">
        <f>Inputs_Summary!G39</f>
        <v>901.10972649676557</v>
      </c>
      <c r="F194" s="95">
        <f>Inputs_Summary!H39</f>
        <v>794.35459770843181</v>
      </c>
      <c r="G194" s="95">
        <f>Inputs_Summary!I39</f>
        <v>5564</v>
      </c>
      <c r="H194" s="95">
        <f>Inputs_Summary!J39</f>
        <v>1911</v>
      </c>
      <c r="I194" s="95">
        <f>Inputs_Summary!K39</f>
        <v>7196</v>
      </c>
      <c r="J194" s="95">
        <f>Inputs_Summary!L39</f>
        <v>911</v>
      </c>
      <c r="K194" s="95">
        <f>Inputs_Summary!M39</f>
        <v>1154.0789960129314</v>
      </c>
      <c r="L194" s="95">
        <f>Inputs_Summary!N39</f>
        <v>4395</v>
      </c>
      <c r="M194" s="95">
        <f>Inputs_Summary!O39</f>
        <v>0</v>
      </c>
      <c r="N194" s="95">
        <f>Inputs_Summary!P39</f>
        <v>2328.2524449730454</v>
      </c>
      <c r="O194" s="95">
        <f>Inputs_Summary!Q39</f>
        <v>2512</v>
      </c>
      <c r="P194" s="101"/>
      <c r="Q194" s="5"/>
      <c r="R194" s="5"/>
      <c r="S194" s="5"/>
      <c r="T194" s="5"/>
    </row>
    <row r="195" spans="1:20" x14ac:dyDescent="0.3">
      <c r="B195" s="3">
        <v>2050</v>
      </c>
      <c r="C195" s="95">
        <f>Inputs_Summary!E40</f>
        <v>3559.4976938012715</v>
      </c>
      <c r="D195" s="95">
        <f>Inputs_Summary!F40</f>
        <v>6281</v>
      </c>
      <c r="E195" s="95">
        <f>Inputs_Summary!G40</f>
        <v>901.10972649676557</v>
      </c>
      <c r="F195" s="95">
        <f>Inputs_Summary!H40</f>
        <v>794.35459770843181</v>
      </c>
      <c r="G195" s="95">
        <f>Inputs_Summary!I40</f>
        <v>5564</v>
      </c>
      <c r="H195" s="95">
        <f>Inputs_Summary!J40</f>
        <v>1911</v>
      </c>
      <c r="I195" s="95">
        <f>Inputs_Summary!K40</f>
        <v>6146</v>
      </c>
      <c r="J195" s="95">
        <f>Inputs_Summary!L40</f>
        <v>854</v>
      </c>
      <c r="K195" s="95">
        <f>Inputs_Summary!M40</f>
        <v>1154.0789960129314</v>
      </c>
      <c r="L195" s="95">
        <f>Inputs_Summary!N40</f>
        <v>4395</v>
      </c>
      <c r="M195" s="95">
        <f>Inputs_Summary!O40</f>
        <v>0</v>
      </c>
      <c r="N195" s="95">
        <f>Inputs_Summary!P40</f>
        <v>2328.2524449730454</v>
      </c>
      <c r="O195" s="95">
        <f>Inputs_Summary!Q40</f>
        <v>2512</v>
      </c>
      <c r="P195" s="101"/>
      <c r="Q195" s="5"/>
      <c r="R195" s="5"/>
      <c r="S195" s="5"/>
      <c r="T195" s="5"/>
    </row>
    <row r="196" spans="1:20" s="32" customFormat="1" x14ac:dyDescent="0.3">
      <c r="B196" s="33" t="s">
        <v>19</v>
      </c>
      <c r="C196" s="95">
        <f>Inputs_Summary!E41</f>
        <v>924</v>
      </c>
      <c r="D196" s="95">
        <f>Inputs_Summary!F41</f>
        <v>968.06859205776175</v>
      </c>
      <c r="E196" s="95">
        <f>Inputs_Summary!G41</f>
        <v>165.17328519855596</v>
      </c>
      <c r="F196" s="95">
        <f>Inputs_Summary!H41</f>
        <v>160.79783393501805</v>
      </c>
      <c r="G196" s="95">
        <f>Inputs_Summary!I41</f>
        <v>907.42483754512637</v>
      </c>
      <c r="H196" s="95">
        <f>Inputs_Summary!J41</f>
        <v>0</v>
      </c>
      <c r="I196" s="95">
        <f>Inputs_Summary!K41</f>
        <v>0</v>
      </c>
      <c r="J196" s="95">
        <f>Inputs_Summary!L41</f>
        <v>0</v>
      </c>
      <c r="K196" s="95">
        <f>Inputs_Summary!M41</f>
        <v>422</v>
      </c>
      <c r="L196" s="95">
        <f>Inputs_Summary!N41</f>
        <v>1655.0144404332129</v>
      </c>
      <c r="M196" s="95">
        <f>Inputs_Summary!O41</f>
        <v>0</v>
      </c>
      <c r="N196" s="95">
        <f>Inputs_Summary!P41</f>
        <v>201.27075812274367</v>
      </c>
      <c r="O196" s="95">
        <f>Inputs_Summary!Q41</f>
        <v>618</v>
      </c>
      <c r="P196" s="101"/>
    </row>
    <row r="197" spans="1:20" x14ac:dyDescent="0.3">
      <c r="B197" s="3">
        <v>2030</v>
      </c>
      <c r="C197" s="95">
        <f>Inputs_Summary!E42</f>
        <v>924</v>
      </c>
      <c r="D197" s="95">
        <f>Inputs_Summary!F42</f>
        <v>968.06859205776175</v>
      </c>
      <c r="E197" s="95">
        <f>Inputs_Summary!G42</f>
        <v>165.17328519855596</v>
      </c>
      <c r="F197" s="95">
        <f>Inputs_Summary!H42</f>
        <v>160.79783393501805</v>
      </c>
      <c r="G197" s="95">
        <f>Inputs_Summary!I42</f>
        <v>907.42483754512637</v>
      </c>
      <c r="H197" s="95">
        <f>Inputs_Summary!J42</f>
        <v>0</v>
      </c>
      <c r="I197" s="95">
        <f>Inputs_Summary!K42</f>
        <v>0</v>
      </c>
      <c r="J197" s="95">
        <f>Inputs_Summary!L42</f>
        <v>0</v>
      </c>
      <c r="K197" s="95">
        <f>Inputs_Summary!M42</f>
        <v>422</v>
      </c>
      <c r="L197" s="95">
        <f>Inputs_Summary!N42</f>
        <v>1655.0144404332129</v>
      </c>
      <c r="M197" s="95">
        <f>Inputs_Summary!O42</f>
        <v>0</v>
      </c>
      <c r="N197" s="95">
        <f>Inputs_Summary!P42</f>
        <v>201.27075812274367</v>
      </c>
      <c r="O197" s="95">
        <f>Inputs_Summary!Q42</f>
        <v>618</v>
      </c>
      <c r="P197" s="101"/>
      <c r="Q197" s="5"/>
      <c r="R197" s="5"/>
      <c r="S197" s="5"/>
      <c r="T197" s="5"/>
    </row>
    <row r="198" spans="1:20" x14ac:dyDescent="0.3">
      <c r="B198" s="3">
        <v>2040</v>
      </c>
      <c r="C198" s="95">
        <f>Inputs_Summary!E43</f>
        <v>924</v>
      </c>
      <c r="D198" s="95">
        <f>Inputs_Summary!F43</f>
        <v>968.06859205776175</v>
      </c>
      <c r="E198" s="95">
        <f>Inputs_Summary!G43</f>
        <v>165.17328519855596</v>
      </c>
      <c r="F198" s="95">
        <f>Inputs_Summary!H43</f>
        <v>160.79783393501805</v>
      </c>
      <c r="G198" s="95">
        <f>Inputs_Summary!I43</f>
        <v>907.42483754512637</v>
      </c>
      <c r="H198" s="95">
        <f>Inputs_Summary!J43</f>
        <v>0</v>
      </c>
      <c r="I198" s="95">
        <f>Inputs_Summary!K43</f>
        <v>0</v>
      </c>
      <c r="J198" s="95">
        <f>Inputs_Summary!L43</f>
        <v>0</v>
      </c>
      <c r="K198" s="95">
        <f>Inputs_Summary!M43</f>
        <v>422</v>
      </c>
      <c r="L198" s="95">
        <f>Inputs_Summary!N43</f>
        <v>1655.0144404332129</v>
      </c>
      <c r="M198" s="95">
        <f>Inputs_Summary!O43</f>
        <v>0</v>
      </c>
      <c r="N198" s="95">
        <f>Inputs_Summary!P43</f>
        <v>201.27075812274367</v>
      </c>
      <c r="O198" s="95">
        <f>Inputs_Summary!Q43</f>
        <v>618</v>
      </c>
      <c r="P198" s="101"/>
      <c r="Q198" s="5"/>
      <c r="R198" s="5"/>
      <c r="S198" s="5"/>
      <c r="T198" s="5"/>
    </row>
    <row r="199" spans="1:20" x14ac:dyDescent="0.3">
      <c r="B199" s="3">
        <v>2050</v>
      </c>
      <c r="C199" s="95">
        <f>Inputs_Summary!E44</f>
        <v>924</v>
      </c>
      <c r="D199" s="95">
        <f>Inputs_Summary!F44</f>
        <v>968.06859205776175</v>
      </c>
      <c r="E199" s="95">
        <f>Inputs_Summary!G44</f>
        <v>165.17328519855596</v>
      </c>
      <c r="F199" s="95">
        <f>Inputs_Summary!H44</f>
        <v>160.79783393501805</v>
      </c>
      <c r="G199" s="95">
        <f>Inputs_Summary!I44</f>
        <v>907.42483754512637</v>
      </c>
      <c r="H199" s="95">
        <f>Inputs_Summary!J44</f>
        <v>0</v>
      </c>
      <c r="I199" s="95">
        <f>Inputs_Summary!K44</f>
        <v>0</v>
      </c>
      <c r="J199" s="95">
        <f>Inputs_Summary!L44</f>
        <v>0</v>
      </c>
      <c r="K199" s="95">
        <f>Inputs_Summary!M44</f>
        <v>422</v>
      </c>
      <c r="L199" s="95">
        <f>Inputs_Summary!N44</f>
        <v>1655.0144404332129</v>
      </c>
      <c r="M199" s="95">
        <f>Inputs_Summary!O44</f>
        <v>0</v>
      </c>
      <c r="N199" s="95">
        <f>Inputs_Summary!P44</f>
        <v>201.27075812274367</v>
      </c>
      <c r="O199" s="95">
        <f>Inputs_Summary!Q44</f>
        <v>618</v>
      </c>
      <c r="P199" s="101"/>
      <c r="Q199" s="5"/>
      <c r="R199" s="5"/>
      <c r="S199" s="5"/>
      <c r="T199" s="5"/>
    </row>
    <row r="200" spans="1:20" s="32" customFormat="1" x14ac:dyDescent="0.3">
      <c r="B200" s="33" t="s">
        <v>20</v>
      </c>
      <c r="C200" s="94">
        <f>Inputs_Summary!E45</f>
        <v>0.36168632057761729</v>
      </c>
      <c r="D200" s="94">
        <f>Inputs_Summary!F45</f>
        <v>0.12287246155234656</v>
      </c>
      <c r="E200" s="94">
        <f>Inputs_Summary!G45</f>
        <v>1.1311272563176895</v>
      </c>
      <c r="F200" s="94">
        <f>Inputs_Summary!H45</f>
        <v>1.7302564981949458</v>
      </c>
      <c r="G200" s="94">
        <f>Inputs_Summary!I45</f>
        <v>0</v>
      </c>
      <c r="H200" s="94">
        <f>Inputs_Summary!J45</f>
        <v>0</v>
      </c>
      <c r="I200" s="94">
        <f>Inputs_Summary!K45</f>
        <v>0</v>
      </c>
      <c r="J200" s="94">
        <f>Inputs_Summary!L45</f>
        <v>0</v>
      </c>
      <c r="K200" s="94">
        <f>Inputs_Summary!M45</f>
        <v>1.42</v>
      </c>
      <c r="L200" s="94">
        <f>Inputs_Summary!N45</f>
        <v>0.46</v>
      </c>
      <c r="M200" s="94">
        <f>Inputs_Summary!O45</f>
        <v>1.51</v>
      </c>
      <c r="N200" s="94">
        <f>Inputs_Summary!P45</f>
        <v>0</v>
      </c>
      <c r="O200" s="94">
        <f>Inputs_Summary!Q45</f>
        <v>3.2000000000000001E-2</v>
      </c>
      <c r="P200" s="100"/>
    </row>
    <row r="201" spans="1:20" x14ac:dyDescent="0.3">
      <c r="B201" s="3">
        <v>2030</v>
      </c>
      <c r="C201" s="94">
        <f>Inputs_Summary!E46</f>
        <v>0.36168632057761729</v>
      </c>
      <c r="D201" s="94">
        <f>Inputs_Summary!F46</f>
        <v>0.12287246155234656</v>
      </c>
      <c r="E201" s="94">
        <f>Inputs_Summary!G46</f>
        <v>1.1311272563176895</v>
      </c>
      <c r="F201" s="94">
        <f>Inputs_Summary!H46</f>
        <v>1.7302564981949458</v>
      </c>
      <c r="G201" s="94">
        <f>Inputs_Summary!I46</f>
        <v>0</v>
      </c>
      <c r="H201" s="94">
        <f>Inputs_Summary!J46</f>
        <v>0</v>
      </c>
      <c r="I201" s="94">
        <f>Inputs_Summary!K46</f>
        <v>0</v>
      </c>
      <c r="J201" s="94">
        <f>Inputs_Summary!L46</f>
        <v>0</v>
      </c>
      <c r="K201" s="94">
        <f>Inputs_Summary!M46</f>
        <v>1.42</v>
      </c>
      <c r="L201" s="94">
        <f>Inputs_Summary!N46</f>
        <v>0.46</v>
      </c>
      <c r="M201" s="94">
        <f>Inputs_Summary!O46</f>
        <v>1.51</v>
      </c>
      <c r="N201" s="94">
        <f>Inputs_Summary!P46</f>
        <v>0</v>
      </c>
      <c r="O201" s="94">
        <f>Inputs_Summary!Q46</f>
        <v>3.2000000000000001E-2</v>
      </c>
      <c r="P201" s="100"/>
      <c r="Q201" s="5"/>
      <c r="R201" s="5"/>
      <c r="S201" s="5"/>
      <c r="T201" s="5"/>
    </row>
    <row r="202" spans="1:20" x14ac:dyDescent="0.3">
      <c r="B202" s="3">
        <v>2040</v>
      </c>
      <c r="C202" s="94">
        <f>Inputs_Summary!E47</f>
        <v>0.36168632057761729</v>
      </c>
      <c r="D202" s="94">
        <f>Inputs_Summary!F47</f>
        <v>0.12287246155234656</v>
      </c>
      <c r="E202" s="94">
        <f>Inputs_Summary!G47</f>
        <v>1.1311272563176895</v>
      </c>
      <c r="F202" s="94">
        <f>Inputs_Summary!H47</f>
        <v>1.7302564981949458</v>
      </c>
      <c r="G202" s="94">
        <f>Inputs_Summary!I47</f>
        <v>0</v>
      </c>
      <c r="H202" s="94">
        <f>Inputs_Summary!J47</f>
        <v>0</v>
      </c>
      <c r="I202" s="94">
        <f>Inputs_Summary!K47</f>
        <v>0</v>
      </c>
      <c r="J202" s="94">
        <f>Inputs_Summary!L47</f>
        <v>0</v>
      </c>
      <c r="K202" s="94">
        <f>Inputs_Summary!M47</f>
        <v>1.42</v>
      </c>
      <c r="L202" s="94">
        <f>Inputs_Summary!N47</f>
        <v>0.46</v>
      </c>
      <c r="M202" s="94">
        <f>Inputs_Summary!O47</f>
        <v>1.51</v>
      </c>
      <c r="N202" s="94">
        <f>Inputs_Summary!P47</f>
        <v>0</v>
      </c>
      <c r="O202" s="94">
        <f>Inputs_Summary!Q47</f>
        <v>3.2000000000000001E-2</v>
      </c>
      <c r="P202" s="100"/>
      <c r="Q202" s="5"/>
      <c r="R202" s="5"/>
      <c r="S202" s="5"/>
      <c r="T202" s="5"/>
    </row>
    <row r="203" spans="1:20" x14ac:dyDescent="0.3">
      <c r="B203" s="3">
        <v>2050</v>
      </c>
      <c r="C203" s="94">
        <f>Inputs_Summary!E48</f>
        <v>0.36168632057761729</v>
      </c>
      <c r="D203" s="94">
        <f>Inputs_Summary!F48</f>
        <v>0.12287246155234656</v>
      </c>
      <c r="E203" s="94">
        <f>Inputs_Summary!G48</f>
        <v>1.1311272563176895</v>
      </c>
      <c r="F203" s="94">
        <f>Inputs_Summary!H48</f>
        <v>1.7302564981949458</v>
      </c>
      <c r="G203" s="94">
        <f>Inputs_Summary!I48</f>
        <v>0</v>
      </c>
      <c r="H203" s="94">
        <f>Inputs_Summary!J48</f>
        <v>0</v>
      </c>
      <c r="I203" s="94">
        <f>Inputs_Summary!K48</f>
        <v>0</v>
      </c>
      <c r="J203" s="94">
        <f>Inputs_Summary!L48</f>
        <v>0</v>
      </c>
      <c r="K203" s="94">
        <f>Inputs_Summary!M48</f>
        <v>1.42</v>
      </c>
      <c r="L203" s="94">
        <f>Inputs_Summary!N48</f>
        <v>0.46</v>
      </c>
      <c r="M203" s="94">
        <f>Inputs_Summary!O48</f>
        <v>1.51</v>
      </c>
      <c r="N203" s="94">
        <f>Inputs_Summary!P48</f>
        <v>0</v>
      </c>
      <c r="O203" s="94">
        <f>Inputs_Summary!Q48</f>
        <v>3.2000000000000001E-2</v>
      </c>
      <c r="P203" s="100"/>
      <c r="Q203" s="5"/>
      <c r="R203" s="5"/>
      <c r="S203" s="5"/>
      <c r="T203" s="5"/>
    </row>
    <row r="204" spans="1:20" s="58" customFormat="1" x14ac:dyDescent="0.3">
      <c r="B204" s="67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</row>
    <row r="205" spans="1:20" ht="28.8" x14ac:dyDescent="0.3">
      <c r="B205" s="43" t="s">
        <v>22</v>
      </c>
      <c r="C205" s="43" t="s">
        <v>0</v>
      </c>
      <c r="D205" s="43" t="s">
        <v>1</v>
      </c>
      <c r="E205" s="43" t="s">
        <v>28</v>
      </c>
      <c r="F205" s="2" t="s">
        <v>29</v>
      </c>
      <c r="G205" s="2" t="s">
        <v>6</v>
      </c>
      <c r="H205" s="43" t="s">
        <v>2</v>
      </c>
      <c r="I205" s="43" t="s">
        <v>3</v>
      </c>
      <c r="J205" s="43" t="s">
        <v>4</v>
      </c>
      <c r="K205" s="43" t="s">
        <v>9</v>
      </c>
      <c r="L205" s="43" t="s">
        <v>8</v>
      </c>
      <c r="M205" s="43" t="s">
        <v>25</v>
      </c>
      <c r="N205" s="43" t="s">
        <v>7</v>
      </c>
      <c r="O205" s="43" t="s">
        <v>89</v>
      </c>
      <c r="P205" s="25"/>
      <c r="Q205" s="43" t="s">
        <v>5</v>
      </c>
      <c r="R205" s="43" t="s">
        <v>91</v>
      </c>
      <c r="T205" s="43" t="s">
        <v>10</v>
      </c>
    </row>
    <row r="206" spans="1:20" x14ac:dyDescent="0.3">
      <c r="A206" s="15">
        <f>C176+C186</f>
        <v>101.28345678417769</v>
      </c>
      <c r="B206" s="3">
        <v>2016</v>
      </c>
      <c r="C206" s="19">
        <f t="shared" ref="C206:O206" si="82">((C196+C192)*C16+C200*C46*1000)/1000000</f>
        <v>0</v>
      </c>
      <c r="D206" s="19">
        <f t="shared" si="82"/>
        <v>0</v>
      </c>
      <c r="E206" s="19">
        <f t="shared" si="82"/>
        <v>0</v>
      </c>
      <c r="F206" s="19">
        <f t="shared" si="82"/>
        <v>0</v>
      </c>
      <c r="G206" s="19">
        <f t="shared" si="82"/>
        <v>0</v>
      </c>
      <c r="H206" s="19">
        <f t="shared" si="82"/>
        <v>0</v>
      </c>
      <c r="I206" s="19">
        <f t="shared" si="82"/>
        <v>0</v>
      </c>
      <c r="J206" s="19">
        <f t="shared" si="82"/>
        <v>0</v>
      </c>
      <c r="K206" s="19">
        <f t="shared" si="82"/>
        <v>0</v>
      </c>
      <c r="L206" s="19">
        <f t="shared" si="82"/>
        <v>0</v>
      </c>
      <c r="M206" s="19">
        <f t="shared" si="82"/>
        <v>0</v>
      </c>
      <c r="N206" s="19">
        <f t="shared" si="82"/>
        <v>0</v>
      </c>
      <c r="O206" s="19">
        <f t="shared" si="82"/>
        <v>0</v>
      </c>
      <c r="P206" s="62"/>
      <c r="Q206" s="39">
        <f>G206+N206</f>
        <v>0</v>
      </c>
      <c r="R206" s="5">
        <f>SUM(K206:L206)</f>
        <v>0</v>
      </c>
      <c r="T206" s="5">
        <f>SUM(C206:O206)</f>
        <v>0</v>
      </c>
    </row>
    <row r="207" spans="1:20" x14ac:dyDescent="0.3">
      <c r="A207" s="15">
        <f t="shared" ref="A207:A209" si="83">C177+C187</f>
        <v>137.95672412113205</v>
      </c>
      <c r="B207" s="3">
        <v>2030</v>
      </c>
      <c r="C207" s="19">
        <f t="shared" ref="C207:O207" si="84">((C197+C193)*C17+C201*C47*1000)/1000000</f>
        <v>0</v>
      </c>
      <c r="D207" s="19">
        <f t="shared" si="84"/>
        <v>0</v>
      </c>
      <c r="E207" s="19">
        <f t="shared" si="84"/>
        <v>2.6864668169026618</v>
      </c>
      <c r="F207" s="19">
        <f t="shared" si="84"/>
        <v>13.48343784142971</v>
      </c>
      <c r="G207" s="19">
        <f t="shared" si="84"/>
        <v>0</v>
      </c>
      <c r="H207" s="19">
        <f t="shared" si="84"/>
        <v>25.989599999999999</v>
      </c>
      <c r="I207" s="19">
        <f t="shared" si="84"/>
        <v>0</v>
      </c>
      <c r="J207" s="19">
        <f t="shared" si="84"/>
        <v>6.8657000000000004</v>
      </c>
      <c r="K207" s="19">
        <f t="shared" si="84"/>
        <v>0</v>
      </c>
      <c r="L207" s="19">
        <f t="shared" si="84"/>
        <v>0</v>
      </c>
      <c r="M207" s="19">
        <f t="shared" si="84"/>
        <v>0</v>
      </c>
      <c r="N207" s="19">
        <f t="shared" si="84"/>
        <v>0.84233122663089777</v>
      </c>
      <c r="O207" s="19">
        <f t="shared" si="84"/>
        <v>9.3900000000000008E-3</v>
      </c>
      <c r="P207" s="62"/>
      <c r="Q207" s="39">
        <f>G207+N207</f>
        <v>0.84233122663089777</v>
      </c>
      <c r="R207" s="5">
        <f>SUM(K207:L207)</f>
        <v>0</v>
      </c>
      <c r="T207" s="5">
        <f t="shared" ref="T207:T209" si="85">SUM(C207:O207)</f>
        <v>49.876925884963271</v>
      </c>
    </row>
    <row r="208" spans="1:20" x14ac:dyDescent="0.3">
      <c r="A208" s="15">
        <f t="shared" si="83"/>
        <v>93.9461916359746</v>
      </c>
      <c r="B208" s="3">
        <v>2040</v>
      </c>
      <c r="C208" s="19">
        <f t="shared" ref="C208:O208" si="86">((C198+C194)*C18+C202*C48*1000)/1000000</f>
        <v>0</v>
      </c>
      <c r="D208" s="19">
        <f t="shared" si="86"/>
        <v>0</v>
      </c>
      <c r="E208" s="19">
        <f t="shared" si="86"/>
        <v>23.195647179139108</v>
      </c>
      <c r="F208" s="19">
        <f t="shared" si="86"/>
        <v>30.97613860755661</v>
      </c>
      <c r="G208" s="19">
        <f t="shared" si="86"/>
        <v>0</v>
      </c>
      <c r="H208" s="19">
        <f t="shared" si="86"/>
        <v>78.159899999999993</v>
      </c>
      <c r="I208" s="19">
        <f t="shared" si="86"/>
        <v>0</v>
      </c>
      <c r="J208" s="19">
        <f t="shared" si="86"/>
        <v>35.529000000000003</v>
      </c>
      <c r="K208" s="19">
        <f t="shared" si="86"/>
        <v>2.6692881183712101</v>
      </c>
      <c r="L208" s="19">
        <f t="shared" si="86"/>
        <v>0</v>
      </c>
      <c r="M208" s="19">
        <f t="shared" si="86"/>
        <v>0</v>
      </c>
      <c r="N208" s="19">
        <f t="shared" si="86"/>
        <v>0.84233122663089777</v>
      </c>
      <c r="O208" s="19">
        <f t="shared" si="86"/>
        <v>1.8780000000000002E-2</v>
      </c>
      <c r="P208" s="62"/>
      <c r="Q208" s="39">
        <f>G208+N208</f>
        <v>0.84233122663089777</v>
      </c>
      <c r="R208" s="5">
        <f>SUM(K208:L208)</f>
        <v>2.6692881183712101</v>
      </c>
      <c r="T208" s="5">
        <f t="shared" si="85"/>
        <v>171.39108513169782</v>
      </c>
    </row>
    <row r="209" spans="1:24" x14ac:dyDescent="0.3">
      <c r="A209" s="15">
        <f t="shared" si="83"/>
        <v>75.258813903143221</v>
      </c>
      <c r="B209" s="3">
        <v>2050</v>
      </c>
      <c r="C209" s="19">
        <f t="shared" ref="C209:O209" si="87">((C199+C195)*C19+C203*C49*1000)/1000000</f>
        <v>0</v>
      </c>
      <c r="D209" s="19">
        <f t="shared" si="87"/>
        <v>0</v>
      </c>
      <c r="E209" s="19">
        <f t="shared" si="87"/>
        <v>49.750774613256795</v>
      </c>
      <c r="F209" s="19">
        <f t="shared" si="87"/>
        <v>41.853798559135349</v>
      </c>
      <c r="G209" s="19">
        <f t="shared" si="87"/>
        <v>0</v>
      </c>
      <c r="H209" s="19">
        <f t="shared" si="87"/>
        <v>113.7045</v>
      </c>
      <c r="I209" s="19">
        <f t="shared" si="87"/>
        <v>0</v>
      </c>
      <c r="J209" s="19">
        <f t="shared" si="87"/>
        <v>47.226199999999999</v>
      </c>
      <c r="K209" s="19">
        <f t="shared" si="87"/>
        <v>2.5208388091551526</v>
      </c>
      <c r="L209" s="19">
        <f t="shared" si="87"/>
        <v>0</v>
      </c>
      <c r="M209" s="19">
        <f t="shared" si="87"/>
        <v>0</v>
      </c>
      <c r="N209" s="19">
        <f t="shared" si="87"/>
        <v>0.84233122663089777</v>
      </c>
      <c r="O209" s="19">
        <f t="shared" si="87"/>
        <v>1.8780000000000002E-2</v>
      </c>
      <c r="P209" s="62"/>
      <c r="Q209" s="39">
        <f>G209+N209</f>
        <v>0.84233122663089777</v>
      </c>
      <c r="R209" s="5">
        <f>SUM(K209:L209)</f>
        <v>2.5208388091551526</v>
      </c>
      <c r="T209" s="5">
        <f t="shared" si="85"/>
        <v>255.9172232081782</v>
      </c>
    </row>
    <row r="210" spans="1:24" x14ac:dyDescent="0.3"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69"/>
    </row>
    <row r="211" spans="1:24" ht="72" x14ac:dyDescent="0.3">
      <c r="B211" s="43" t="s">
        <v>23</v>
      </c>
      <c r="C211" s="43" t="s">
        <v>0</v>
      </c>
      <c r="D211" s="43" t="s">
        <v>1</v>
      </c>
      <c r="E211" s="43" t="s">
        <v>28</v>
      </c>
      <c r="F211" s="2" t="s">
        <v>29</v>
      </c>
      <c r="G211" s="2" t="s">
        <v>6</v>
      </c>
      <c r="H211" s="43" t="s">
        <v>2</v>
      </c>
      <c r="I211" s="43" t="s">
        <v>3</v>
      </c>
      <c r="J211" s="43" t="s">
        <v>4</v>
      </c>
      <c r="K211" s="43" t="s">
        <v>9</v>
      </c>
      <c r="L211" s="43" t="s">
        <v>8</v>
      </c>
      <c r="M211" s="43" t="s">
        <v>25</v>
      </c>
      <c r="N211" s="43" t="s">
        <v>7</v>
      </c>
      <c r="O211" s="43" t="s">
        <v>89</v>
      </c>
      <c r="P211" s="25"/>
      <c r="Q211" s="43" t="s">
        <v>5</v>
      </c>
      <c r="R211" s="43" t="s">
        <v>91</v>
      </c>
      <c r="T211" s="43" t="s">
        <v>10</v>
      </c>
      <c r="U211" s="41" t="s">
        <v>86</v>
      </c>
      <c r="V211" s="43" t="s">
        <v>92</v>
      </c>
      <c r="W211" s="43" t="s">
        <v>93</v>
      </c>
      <c r="X211" s="25" t="s">
        <v>60</v>
      </c>
    </row>
    <row r="212" spans="1:24" x14ac:dyDescent="0.3">
      <c r="B212" s="3">
        <v>2016</v>
      </c>
      <c r="C212" s="19">
        <f>C176+C186+C206</f>
        <v>101.28345678417769</v>
      </c>
      <c r="D212" s="19">
        <f t="shared" ref="D212:O215" si="88">D176+D186+D206</f>
        <v>3.0206166863931165</v>
      </c>
      <c r="E212" s="19">
        <f t="shared" si="88"/>
        <v>0.71827291818882821</v>
      </c>
      <c r="F212" s="19">
        <f t="shared" si="88"/>
        <v>5.6112431781664789</v>
      </c>
      <c r="G212" s="19">
        <f t="shared" si="88"/>
        <v>4.7397372806457199</v>
      </c>
      <c r="H212" s="19">
        <f t="shared" si="88"/>
        <v>4.0750701878248003</v>
      </c>
      <c r="I212" s="19">
        <f t="shared" si="88"/>
        <v>2.9231010200632919</v>
      </c>
      <c r="J212" s="19">
        <f t="shared" si="88"/>
        <v>4.4864465988215327</v>
      </c>
      <c r="K212" s="19">
        <f t="shared" si="88"/>
        <v>0</v>
      </c>
      <c r="L212" s="19">
        <f t="shared" si="88"/>
        <v>2.6751491869481288</v>
      </c>
      <c r="M212" s="19">
        <f t="shared" si="88"/>
        <v>0</v>
      </c>
      <c r="N212" s="19">
        <f t="shared" si="88"/>
        <v>0.46729964879989472</v>
      </c>
      <c r="O212" s="19">
        <f t="shared" si="88"/>
        <v>0</v>
      </c>
      <c r="P212" s="62"/>
      <c r="Q212" s="5">
        <f>G212+N212</f>
        <v>5.2070369294456142</v>
      </c>
      <c r="R212" s="5">
        <f>SUM(K212:L212)</f>
        <v>2.6751491869481288</v>
      </c>
      <c r="S212" s="5"/>
      <c r="T212" s="46">
        <f>SUM(C212:O212)</f>
        <v>130.00039349002947</v>
      </c>
      <c r="U212" s="39">
        <f>T212+T128*Inputs_Summary!O64/1000</f>
        <v>155.98922641286882</v>
      </c>
      <c r="V212" s="39">
        <f>T212+Inputs_Summary!$O$62*Inputs_Summary!N72/1000</f>
        <v>202.62649349002947</v>
      </c>
      <c r="W212" s="39">
        <f>V212+(U212-T212)</f>
        <v>228.61532641286882</v>
      </c>
      <c r="X212" s="75">
        <f>T212-'O-BC-LowD'!T212</f>
        <v>0</v>
      </c>
    </row>
    <row r="213" spans="1:24" x14ac:dyDescent="0.3">
      <c r="B213" s="3">
        <v>2030</v>
      </c>
      <c r="C213" s="19">
        <f>C177+C187+C207</f>
        <v>137.95672412113205</v>
      </c>
      <c r="D213" s="19">
        <f t="shared" ref="D213:N213" si="89">D177+D187+D207</f>
        <v>3.0006722040857499</v>
      </c>
      <c r="E213" s="19">
        <f t="shared" si="89"/>
        <v>4.8017416331669587</v>
      </c>
      <c r="F213" s="19">
        <f t="shared" si="89"/>
        <v>14.542370939019229</v>
      </c>
      <c r="G213" s="19">
        <f t="shared" si="89"/>
        <v>3.9969141963044215</v>
      </c>
      <c r="H213" s="19">
        <f t="shared" si="89"/>
        <v>36.213538427787739</v>
      </c>
      <c r="I213" s="19">
        <f t="shared" si="89"/>
        <v>12.423371977503937</v>
      </c>
      <c r="J213" s="19">
        <f t="shared" si="89"/>
        <v>13.207974541542443</v>
      </c>
      <c r="K213" s="19">
        <f t="shared" si="89"/>
        <v>0.30655281416782021</v>
      </c>
      <c r="L213" s="19">
        <f t="shared" si="89"/>
        <v>4.2253375611101633</v>
      </c>
      <c r="M213" s="19">
        <f t="shared" si="89"/>
        <v>0</v>
      </c>
      <c r="N213" s="19">
        <f t="shared" si="89"/>
        <v>4.6608638859036784</v>
      </c>
      <c r="O213" s="19">
        <f t="shared" si="88"/>
        <v>9.3900000000000008E-3</v>
      </c>
      <c r="P213" s="62"/>
      <c r="Q213" s="5">
        <f>G213+N213</f>
        <v>8.6577780822081003</v>
      </c>
      <c r="R213" s="5">
        <f>SUM(K213:L213)</f>
        <v>4.5318903752779836</v>
      </c>
      <c r="S213" s="5"/>
      <c r="T213" s="46">
        <f t="shared" ref="T213:T215" si="90">SUM(C213:O213)</f>
        <v>235.34545230172421</v>
      </c>
      <c r="U213" s="39">
        <f>T213+T129*Inputs_Summary!O65/1000</f>
        <v>259.77626211199453</v>
      </c>
      <c r="V213" s="39">
        <f>T213+Inputs_Summary!$O$62*Inputs_Summary!N73/1000</f>
        <v>327.55111748346224</v>
      </c>
      <c r="W213" s="39">
        <f t="shared" ref="W213:W215" si="91">V213+(U213-T213)</f>
        <v>351.98192729373255</v>
      </c>
      <c r="X213" s="75">
        <f>T213-'O-BC-LowD'!T213</f>
        <v>-6.931479813000351</v>
      </c>
    </row>
    <row r="214" spans="1:24" x14ac:dyDescent="0.3">
      <c r="B214" s="3">
        <v>2040</v>
      </c>
      <c r="C214" s="19">
        <f>C178+C188+C208</f>
        <v>93.9461916359746</v>
      </c>
      <c r="D214" s="19">
        <f t="shared" ref="D214:N214" si="92">D178+D188+D208</f>
        <v>2.9228227632083184</v>
      </c>
      <c r="E214" s="19">
        <f t="shared" si="92"/>
        <v>25.324097636361387</v>
      </c>
      <c r="F214" s="19">
        <f t="shared" si="92"/>
        <v>31.33126107813402</v>
      </c>
      <c r="G214" s="19">
        <f t="shared" si="92"/>
        <v>3.7435300523189929</v>
      </c>
      <c r="H214" s="19">
        <f t="shared" si="92"/>
        <v>78.159899999999993</v>
      </c>
      <c r="I214" s="19">
        <f t="shared" si="92"/>
        <v>12.450460862423595</v>
      </c>
      <c r="J214" s="19">
        <f t="shared" si="92"/>
        <v>38.742185894289179</v>
      </c>
      <c r="K214" s="19">
        <f t="shared" si="92"/>
        <v>2.9759824150600216</v>
      </c>
      <c r="L214" s="19">
        <f t="shared" si="92"/>
        <v>4.2653867982179561</v>
      </c>
      <c r="M214" s="19">
        <f t="shared" si="92"/>
        <v>0</v>
      </c>
      <c r="N214" s="19">
        <f t="shared" si="92"/>
        <v>4.6749021025428164</v>
      </c>
      <c r="O214" s="19">
        <f t="shared" si="88"/>
        <v>1.8780000000000002E-2</v>
      </c>
      <c r="P214" s="62"/>
      <c r="Q214" s="5">
        <f>G214+N214</f>
        <v>8.4184321548618097</v>
      </c>
      <c r="R214" s="5">
        <f>SUM(K214:L214)</f>
        <v>7.2413692132779772</v>
      </c>
      <c r="S214" s="5"/>
      <c r="T214" s="46">
        <f t="shared" si="90"/>
        <v>298.55550123853089</v>
      </c>
      <c r="U214" s="39">
        <f>T214+T130*Inputs_Summary!O66/1000</f>
        <v>311.71629661216463</v>
      </c>
      <c r="V214" s="39">
        <f>T214+Inputs_Summary!$O$62*Inputs_Summary!N74/1000</f>
        <v>404.02467224495518</v>
      </c>
      <c r="W214" s="39">
        <f t="shared" si="91"/>
        <v>417.18546761858892</v>
      </c>
      <c r="X214" s="75">
        <f>T214-'O-BC-LowD'!T214</f>
        <v>-25.099730330617433</v>
      </c>
    </row>
    <row r="215" spans="1:24" x14ac:dyDescent="0.3">
      <c r="B215" s="3">
        <v>2050</v>
      </c>
      <c r="C215" s="19">
        <f>C179+C189+C209</f>
        <v>75.258813903143221</v>
      </c>
      <c r="D215" s="19">
        <f t="shared" ref="D215:N215" si="93">D179+D189+D209</f>
        <v>0</v>
      </c>
      <c r="E215" s="19">
        <f t="shared" si="93"/>
        <v>51.896125610098743</v>
      </c>
      <c r="F215" s="19">
        <f t="shared" si="93"/>
        <v>41.853798559135349</v>
      </c>
      <c r="G215" s="19">
        <f t="shared" si="93"/>
        <v>3.5960033397315492</v>
      </c>
      <c r="H215" s="19">
        <f t="shared" si="93"/>
        <v>113.7045</v>
      </c>
      <c r="I215" s="19">
        <f t="shared" si="93"/>
        <v>0</v>
      </c>
      <c r="J215" s="19">
        <f t="shared" si="93"/>
        <v>47.226199999999999</v>
      </c>
      <c r="K215" s="19">
        <f t="shared" si="93"/>
        <v>2.5208388091551526</v>
      </c>
      <c r="L215" s="19">
        <f t="shared" si="93"/>
        <v>2.7051847689833863</v>
      </c>
      <c r="M215" s="19">
        <f t="shared" si="93"/>
        <v>0</v>
      </c>
      <c r="N215" s="19">
        <f t="shared" si="93"/>
        <v>4.6735452203925467</v>
      </c>
      <c r="O215" s="19">
        <f t="shared" si="88"/>
        <v>1.8780000000000002E-2</v>
      </c>
      <c r="P215" s="62"/>
      <c r="Q215" s="5">
        <f>G215+N215</f>
        <v>8.2695485601240968</v>
      </c>
      <c r="R215" s="5">
        <f>SUM(K215:L215)</f>
        <v>5.2260235781385393</v>
      </c>
      <c r="S215" s="5"/>
      <c r="T215" s="46">
        <f t="shared" si="90"/>
        <v>343.45379021063997</v>
      </c>
      <c r="U215" s="39">
        <f>T215+T131*Inputs_Summary!O67/1000</f>
        <v>352.73113644948512</v>
      </c>
      <c r="V215" s="39">
        <f>T215+Inputs_Summary!$O$62*Inputs_Summary!N75/1000</f>
        <v>458.12955280492082</v>
      </c>
      <c r="W215" s="39">
        <f t="shared" si="91"/>
        <v>467.40689904376597</v>
      </c>
      <c r="X215" s="75">
        <f>T215-'O-BC-LowD'!T215</f>
        <v>-28.459886631498193</v>
      </c>
    </row>
    <row r="216" spans="1:24" x14ac:dyDescent="0.3">
      <c r="U216" s="11"/>
    </row>
    <row r="217" spans="1:24" x14ac:dyDescent="0.3">
      <c r="B217" s="3">
        <v>2016</v>
      </c>
      <c r="C217" s="21">
        <f t="shared" ref="C217:O220" si="94">IFERROR(C212/$T212,0)</f>
        <v>0.7791011555049312</v>
      </c>
      <c r="D217" s="21">
        <f t="shared" si="94"/>
        <v>2.3235442642139281E-2</v>
      </c>
      <c r="E217" s="21">
        <f t="shared" si="94"/>
        <v>5.5251595699509709E-3</v>
      </c>
      <c r="F217" s="21">
        <f t="shared" si="94"/>
        <v>4.316327841420603E-2</v>
      </c>
      <c r="G217" s="21">
        <f t="shared" si="94"/>
        <v>3.6459407186403933E-2</v>
      </c>
      <c r="H217" s="21">
        <f t="shared" si="94"/>
        <v>3.1346598871159127E-2</v>
      </c>
      <c r="I217" s="21">
        <f t="shared" si="94"/>
        <v>2.2485324402402539E-2</v>
      </c>
      <c r="J217" s="21">
        <f t="shared" si="94"/>
        <v>3.4511023223676829E-2</v>
      </c>
      <c r="K217" s="21">
        <f t="shared" si="94"/>
        <v>0</v>
      </c>
      <c r="L217" s="21">
        <f t="shared" si="94"/>
        <v>2.0578008382361568E-2</v>
      </c>
      <c r="M217" s="21">
        <f t="shared" si="94"/>
        <v>0</v>
      </c>
      <c r="N217" s="21">
        <f t="shared" si="94"/>
        <v>3.5946018027686573E-3</v>
      </c>
      <c r="O217" s="21">
        <f t="shared" si="94"/>
        <v>0</v>
      </c>
      <c r="P217" s="29"/>
      <c r="Q217" s="7">
        <f t="shared" ref="Q217:R220" si="95">IFERROR(Q212/$T212,0)</f>
        <v>4.0054008989172593E-2</v>
      </c>
      <c r="R217" s="7">
        <f t="shared" si="95"/>
        <v>2.0578008382361568E-2</v>
      </c>
      <c r="T217" s="8">
        <f>SUM(C217:O217)</f>
        <v>1.0000000000000002</v>
      </c>
      <c r="U217" s="11"/>
    </row>
    <row r="218" spans="1:24" x14ac:dyDescent="0.3">
      <c r="B218" s="3">
        <v>2030</v>
      </c>
      <c r="C218" s="21">
        <f t="shared" si="94"/>
        <v>0.58618818750007073</v>
      </c>
      <c r="D218" s="21">
        <f t="shared" si="94"/>
        <v>1.2750075154368157E-2</v>
      </c>
      <c r="E218" s="21">
        <f t="shared" si="94"/>
        <v>2.0402950582664732E-2</v>
      </c>
      <c r="F218" s="21">
        <f t="shared" si="94"/>
        <v>6.1791595277461357E-2</v>
      </c>
      <c r="G218" s="21">
        <f t="shared" si="94"/>
        <v>1.6983180075135614E-2</v>
      </c>
      <c r="H218" s="21">
        <f t="shared" si="94"/>
        <v>0.15387396728346481</v>
      </c>
      <c r="I218" s="21">
        <f t="shared" si="94"/>
        <v>5.2787814066517738E-2</v>
      </c>
      <c r="J218" s="21">
        <f t="shared" si="94"/>
        <v>5.6121647613607523E-2</v>
      </c>
      <c r="K218" s="21">
        <f t="shared" si="94"/>
        <v>1.3025652765739648E-3</v>
      </c>
      <c r="L218" s="21">
        <f t="shared" si="94"/>
        <v>1.7953767620260099E-2</v>
      </c>
      <c r="M218" s="21">
        <f t="shared" si="94"/>
        <v>0</v>
      </c>
      <c r="N218" s="21">
        <f t="shared" si="94"/>
        <v>1.9804350754686461E-2</v>
      </c>
      <c r="O218" s="21">
        <f t="shared" si="94"/>
        <v>3.9898795188791533E-5</v>
      </c>
      <c r="P218" s="29"/>
      <c r="Q218" s="7">
        <f t="shared" si="95"/>
        <v>3.6787530829822078E-2</v>
      </c>
      <c r="R218" s="7">
        <f t="shared" si="95"/>
        <v>1.9256332896834063E-2</v>
      </c>
      <c r="T218" s="8">
        <f t="shared" ref="T218:T220" si="96">SUM(C218:O218)</f>
        <v>1</v>
      </c>
      <c r="U218" s="11"/>
    </row>
    <row r="219" spans="1:24" x14ac:dyDescent="0.3">
      <c r="B219" s="3">
        <v>2040</v>
      </c>
      <c r="C219" s="21">
        <f t="shared" si="94"/>
        <v>0.31466910254960029</v>
      </c>
      <c r="D219" s="21">
        <f t="shared" si="94"/>
        <v>9.7898807795644312E-3</v>
      </c>
      <c r="E219" s="21">
        <f t="shared" si="94"/>
        <v>8.4822076737178259E-2</v>
      </c>
      <c r="F219" s="21">
        <f t="shared" si="94"/>
        <v>0.1049428362504093</v>
      </c>
      <c r="G219" s="21">
        <f t="shared" si="94"/>
        <v>1.2538807815596404E-2</v>
      </c>
      <c r="H219" s="21">
        <f t="shared" si="94"/>
        <v>0.26179353478921208</v>
      </c>
      <c r="I219" s="21">
        <f t="shared" si="94"/>
        <v>4.1702332768192074E-2</v>
      </c>
      <c r="J219" s="21">
        <f t="shared" si="94"/>
        <v>0.12976543970407736</v>
      </c>
      <c r="K219" s="21">
        <f t="shared" si="94"/>
        <v>9.967936958838219E-3</v>
      </c>
      <c r="L219" s="21">
        <f t="shared" si="94"/>
        <v>1.4286746620053487E-2</v>
      </c>
      <c r="M219" s="21">
        <f t="shared" si="94"/>
        <v>0</v>
      </c>
      <c r="N219" s="21">
        <f t="shared" si="94"/>
        <v>1.5658402150184478E-2</v>
      </c>
      <c r="O219" s="21">
        <f t="shared" si="94"/>
        <v>6.2902877093514763E-5</v>
      </c>
      <c r="P219" s="29"/>
      <c r="Q219" s="7">
        <f t="shared" si="95"/>
        <v>2.8197209965780883E-2</v>
      </c>
      <c r="R219" s="7">
        <f t="shared" si="95"/>
        <v>2.4254683578891705E-2</v>
      </c>
      <c r="T219" s="8">
        <f t="shared" si="96"/>
        <v>0.99999999999999989</v>
      </c>
      <c r="U219" s="11"/>
    </row>
    <row r="220" spans="1:24" x14ac:dyDescent="0.3">
      <c r="B220" s="3">
        <v>2050</v>
      </c>
      <c r="C220" s="21">
        <f t="shared" si="94"/>
        <v>0.21912355038209666</v>
      </c>
      <c r="D220" s="21">
        <f t="shared" si="94"/>
        <v>0</v>
      </c>
      <c r="E220" s="21">
        <f t="shared" si="94"/>
        <v>0.15110075092859185</v>
      </c>
      <c r="F220" s="21">
        <f t="shared" si="94"/>
        <v>0.1218615131120447</v>
      </c>
      <c r="G220" s="21">
        <f t="shared" si="94"/>
        <v>1.0470122742061234E-2</v>
      </c>
      <c r="H220" s="21">
        <f t="shared" si="94"/>
        <v>0.33106200380046791</v>
      </c>
      <c r="I220" s="21">
        <f t="shared" si="94"/>
        <v>0</v>
      </c>
      <c r="J220" s="21">
        <f t="shared" si="94"/>
        <v>0.13750379627791035</v>
      </c>
      <c r="K220" s="21">
        <f t="shared" si="94"/>
        <v>7.3396738688168905E-3</v>
      </c>
      <c r="L220" s="21">
        <f t="shared" si="94"/>
        <v>7.8764155356221242E-3</v>
      </c>
      <c r="M220" s="21">
        <f t="shared" si="94"/>
        <v>0</v>
      </c>
      <c r="N220" s="21">
        <f t="shared" si="94"/>
        <v>1.3607493507427199E-2</v>
      </c>
      <c r="O220" s="21">
        <f t="shared" si="94"/>
        <v>5.4679844961041893E-5</v>
      </c>
      <c r="P220" s="29"/>
      <c r="Q220" s="7">
        <f t="shared" si="95"/>
        <v>2.4077616249488436E-2</v>
      </c>
      <c r="R220" s="7">
        <f t="shared" si="95"/>
        <v>1.5216089404439016E-2</v>
      </c>
      <c r="T220" s="8">
        <f t="shared" si="96"/>
        <v>0.99999999999999978</v>
      </c>
    </row>
    <row r="222" spans="1:24" s="9" customFormat="1" ht="21" x14ac:dyDescent="0.4">
      <c r="B222" s="10" t="s">
        <v>51</v>
      </c>
    </row>
    <row r="223" spans="1:24" s="32" customFormat="1" ht="21" x14ac:dyDescent="0.4">
      <c r="B223" s="31"/>
      <c r="C223" s="40"/>
      <c r="D223" s="40"/>
      <c r="E223" s="40"/>
      <c r="P223" s="58"/>
    </row>
    <row r="224" spans="1:24" ht="28.8" x14ac:dyDescent="0.3">
      <c r="B224" s="43" t="s">
        <v>48</v>
      </c>
      <c r="C224" s="43" t="s">
        <v>0</v>
      </c>
      <c r="D224" s="43" t="s">
        <v>1</v>
      </c>
      <c r="E224" s="43" t="s">
        <v>28</v>
      </c>
      <c r="F224" s="2" t="s">
        <v>29</v>
      </c>
      <c r="G224" s="2" t="s">
        <v>6</v>
      </c>
      <c r="H224" s="43" t="s">
        <v>2</v>
      </c>
      <c r="I224" s="43" t="s">
        <v>3</v>
      </c>
      <c r="J224" s="43" t="s">
        <v>4</v>
      </c>
      <c r="K224" s="43" t="s">
        <v>9</v>
      </c>
      <c r="L224" s="43" t="s">
        <v>8</v>
      </c>
      <c r="M224" s="43" t="s">
        <v>25</v>
      </c>
      <c r="N224" s="43" t="s">
        <v>7</v>
      </c>
      <c r="O224" s="43" t="s">
        <v>89</v>
      </c>
      <c r="P224" s="25"/>
      <c r="Q224" s="43" t="s">
        <v>5</v>
      </c>
      <c r="R224" s="43" t="s">
        <v>91</v>
      </c>
      <c r="T224" s="42"/>
    </row>
    <row r="225" spans="2:20" x14ac:dyDescent="0.3">
      <c r="B225" s="3">
        <v>2016</v>
      </c>
      <c r="C225" s="48">
        <f t="shared" ref="C225:O225" si="97">IFERROR(C176/C34*1000,"")</f>
        <v>0.48989471926362094</v>
      </c>
      <c r="D225" s="48">
        <f t="shared" si="97"/>
        <v>0.20487259277908632</v>
      </c>
      <c r="E225" s="48">
        <f t="shared" si="97"/>
        <v>0.95000000000000007</v>
      </c>
      <c r="F225" s="48">
        <f t="shared" si="97"/>
        <v>2.7719237674542714</v>
      </c>
      <c r="G225" s="48">
        <f t="shared" si="97"/>
        <v>0.30000000000000004</v>
      </c>
      <c r="H225" s="48">
        <f t="shared" si="97"/>
        <v>0.93</v>
      </c>
      <c r="I225" s="48">
        <f t="shared" si="97"/>
        <v>3.2999999999999994</v>
      </c>
      <c r="J225" s="48">
        <f t="shared" si="97"/>
        <v>1.6999999999999997</v>
      </c>
      <c r="K225" s="48" t="str">
        <f t="shared" si="97"/>
        <v/>
      </c>
      <c r="L225" s="48">
        <f t="shared" si="97"/>
        <v>1.6499999999999997</v>
      </c>
      <c r="M225" s="48" t="str">
        <f t="shared" si="97"/>
        <v/>
      </c>
      <c r="N225" s="48">
        <f t="shared" si="97"/>
        <v>0.15605822366857675</v>
      </c>
      <c r="O225" s="48" t="str">
        <f t="shared" si="97"/>
        <v/>
      </c>
      <c r="P225" s="53"/>
      <c r="T225" s="42">
        <f>IFERROR(T176/Inputs_Summary!N72*1000,"")</f>
        <v>0.51041383896307546</v>
      </c>
    </row>
    <row r="226" spans="2:20" x14ac:dyDescent="0.3">
      <c r="B226" s="3">
        <v>2030</v>
      </c>
      <c r="C226" s="48">
        <f t="shared" ref="C226:O226" si="98">IFERROR(C177/C35*1000,"")</f>
        <v>0.48877925854109638</v>
      </c>
      <c r="D226" s="48">
        <f t="shared" si="98"/>
        <v>0.20578539935314821</v>
      </c>
      <c r="E226" s="48">
        <f t="shared" si="98"/>
        <v>0.94999999999999984</v>
      </c>
      <c r="F226" s="48">
        <f t="shared" si="98"/>
        <v>4.6977163580071499</v>
      </c>
      <c r="G226" s="48">
        <f t="shared" si="98"/>
        <v>0.30000000000000004</v>
      </c>
      <c r="H226" s="48">
        <f t="shared" si="98"/>
        <v>0.93</v>
      </c>
      <c r="I226" s="48">
        <f t="shared" si="98"/>
        <v>3.3</v>
      </c>
      <c r="J226" s="48">
        <f t="shared" si="98"/>
        <v>1.7</v>
      </c>
      <c r="K226" s="48" t="str">
        <f t="shared" si="98"/>
        <v/>
      </c>
      <c r="L226" s="48">
        <f t="shared" si="98"/>
        <v>1.6499999999999997</v>
      </c>
      <c r="M226" s="48" t="str">
        <f t="shared" si="98"/>
        <v/>
      </c>
      <c r="N226" s="48">
        <f t="shared" si="98"/>
        <v>0.17063565371549447</v>
      </c>
      <c r="O226" s="48" t="str">
        <f t="shared" si="98"/>
        <v/>
      </c>
      <c r="P226" s="53"/>
      <c r="T226" s="42">
        <f>IFERROR(T177/T35*1000,"")</f>
        <v>0.51189667650981852</v>
      </c>
    </row>
    <row r="227" spans="2:20" x14ac:dyDescent="0.3">
      <c r="B227" s="3">
        <v>2040</v>
      </c>
      <c r="C227" s="48">
        <f t="shared" ref="C227:O227" si="99">IFERROR(C178/C36*1000,"")</f>
        <v>0.53103524354421783</v>
      </c>
      <c r="D227" s="48">
        <f t="shared" si="99"/>
        <v>0.20955167319888371</v>
      </c>
      <c r="E227" s="48">
        <f t="shared" si="99"/>
        <v>0.95</v>
      </c>
      <c r="F227" s="48">
        <f t="shared" si="99"/>
        <v>4.5924777196379898</v>
      </c>
      <c r="G227" s="48">
        <f t="shared" si="99"/>
        <v>0.30000000000000004</v>
      </c>
      <c r="H227" s="48" t="str">
        <f t="shared" si="99"/>
        <v/>
      </c>
      <c r="I227" s="48">
        <f t="shared" si="99"/>
        <v>3.3000000000000003</v>
      </c>
      <c r="J227" s="48">
        <f t="shared" si="99"/>
        <v>1.7</v>
      </c>
      <c r="K227" s="48" t="str">
        <f t="shared" si="99"/>
        <v/>
      </c>
      <c r="L227" s="48">
        <f t="shared" si="99"/>
        <v>1.6499999999999997</v>
      </c>
      <c r="M227" s="48" t="str">
        <f t="shared" si="99"/>
        <v/>
      </c>
      <c r="N227" s="48">
        <f t="shared" si="99"/>
        <v>0.15900967512644293</v>
      </c>
      <c r="O227" s="48" t="str">
        <f t="shared" si="99"/>
        <v/>
      </c>
      <c r="P227" s="53"/>
      <c r="T227" s="42">
        <f>IFERROR(T178/T36*1000,"")</f>
        <v>0.50210262384027771</v>
      </c>
    </row>
    <row r="228" spans="2:20" x14ac:dyDescent="0.3">
      <c r="B228" s="3">
        <v>2050</v>
      </c>
      <c r="C228" s="48" t="str">
        <f t="shared" ref="C228:O228" si="100">IFERROR(C179/C37*1000,"")</f>
        <v/>
      </c>
      <c r="D228" s="48" t="str">
        <f t="shared" si="100"/>
        <v/>
      </c>
      <c r="E228" s="48">
        <f t="shared" si="100"/>
        <v>0.95</v>
      </c>
      <c r="F228" s="48" t="str">
        <f t="shared" si="100"/>
        <v/>
      </c>
      <c r="G228" s="48">
        <f t="shared" si="100"/>
        <v>0.3</v>
      </c>
      <c r="H228" s="48" t="str">
        <f t="shared" si="100"/>
        <v/>
      </c>
      <c r="I228" s="48" t="str">
        <f t="shared" si="100"/>
        <v/>
      </c>
      <c r="J228" s="48" t="str">
        <f t="shared" si="100"/>
        <v/>
      </c>
      <c r="K228" s="48" t="str">
        <f t="shared" si="100"/>
        <v/>
      </c>
      <c r="L228" s="48">
        <f t="shared" si="100"/>
        <v>1.6499999999999997</v>
      </c>
      <c r="M228" s="48" t="str">
        <f t="shared" si="100"/>
        <v/>
      </c>
      <c r="N228" s="48">
        <f t="shared" si="100"/>
        <v>0.16003465065096942</v>
      </c>
      <c r="O228" s="48" t="str">
        <f t="shared" si="100"/>
        <v/>
      </c>
      <c r="P228" s="53"/>
      <c r="T228" s="42">
        <f>IFERROR(T179/T37*1000,"")</f>
        <v>0.52735701371012622</v>
      </c>
    </row>
    <row r="229" spans="2:20" x14ac:dyDescent="0.3">
      <c r="B229" s="41"/>
    </row>
    <row r="230" spans="2:20" ht="28.8" x14ac:dyDescent="0.3">
      <c r="B230" s="43" t="s">
        <v>47</v>
      </c>
    </row>
    <row r="231" spans="2:20" x14ac:dyDescent="0.3">
      <c r="B231" s="3">
        <v>2016</v>
      </c>
      <c r="C231" s="48">
        <f t="shared" ref="C231:O231" si="101">IFERROR(C186/C40*1000,"")</f>
        <v>1.1384026570269674</v>
      </c>
      <c r="D231" s="48" t="str">
        <f t="shared" si="101"/>
        <v/>
      </c>
      <c r="E231" s="48" t="str">
        <f t="shared" si="101"/>
        <v/>
      </c>
      <c r="F231" s="48" t="str">
        <f t="shared" si="101"/>
        <v/>
      </c>
      <c r="G231" s="48" t="str">
        <f t="shared" si="101"/>
        <v/>
      </c>
      <c r="H231" s="48">
        <f t="shared" si="101"/>
        <v>0.70507456548359604</v>
      </c>
      <c r="I231" s="48">
        <f t="shared" si="101"/>
        <v>2.2907692307692313</v>
      </c>
      <c r="J231" s="48" t="str">
        <f t="shared" si="101"/>
        <v/>
      </c>
      <c r="K231" s="48" t="str">
        <f t="shared" si="101"/>
        <v/>
      </c>
      <c r="L231" s="48">
        <f t="shared" si="101"/>
        <v>1.61</v>
      </c>
      <c r="M231" s="48" t="str">
        <f t="shared" si="101"/>
        <v/>
      </c>
      <c r="N231" s="48" t="str">
        <f t="shared" si="101"/>
        <v/>
      </c>
      <c r="O231" s="48" t="str">
        <f t="shared" si="101"/>
        <v/>
      </c>
      <c r="P231" s="53"/>
      <c r="T231" s="42">
        <f>IFERROR(T186/Inputs_Summary!N72*1000,"")</f>
        <v>2.6584816437790652E-2</v>
      </c>
    </row>
    <row r="232" spans="2:20" x14ac:dyDescent="0.3">
      <c r="B232" s="3">
        <v>2030</v>
      </c>
      <c r="C232" s="48">
        <f t="shared" ref="C232:O232" si="102">IFERROR(C187/C41*1000,"")</f>
        <v>1.1555515746383536</v>
      </c>
      <c r="D232" s="48" t="str">
        <f t="shared" si="102"/>
        <v/>
      </c>
      <c r="E232" s="48" t="str">
        <f t="shared" si="102"/>
        <v/>
      </c>
      <c r="F232" s="48" t="str">
        <f t="shared" si="102"/>
        <v/>
      </c>
      <c r="G232" s="48">
        <f t="shared" si="102"/>
        <v>1.24</v>
      </c>
      <c r="H232" s="48">
        <f t="shared" si="102"/>
        <v>0.70507456548359604</v>
      </c>
      <c r="I232" s="48">
        <f t="shared" si="102"/>
        <v>2.2907692307692313</v>
      </c>
      <c r="J232" s="48">
        <f t="shared" si="102"/>
        <v>0.79657730380457303</v>
      </c>
      <c r="K232" s="48">
        <f t="shared" si="102"/>
        <v>0.86613656781409543</v>
      </c>
      <c r="L232" s="48">
        <f t="shared" si="102"/>
        <v>1.61</v>
      </c>
      <c r="M232" s="48" t="str">
        <f t="shared" si="102"/>
        <v/>
      </c>
      <c r="N232" s="48">
        <f t="shared" si="102"/>
        <v>1.1254995582788136</v>
      </c>
      <c r="O232" s="48" t="str">
        <f t="shared" si="102"/>
        <v/>
      </c>
      <c r="P232" s="53"/>
      <c r="T232" s="42">
        <f>IFERROR(T187/Inputs_Summary!N73*1000,"")</f>
        <v>0.32581257205850944</v>
      </c>
    </row>
    <row r="233" spans="2:20" x14ac:dyDescent="0.3">
      <c r="B233" s="3">
        <v>2040</v>
      </c>
      <c r="C233" s="52">
        <f t="shared" ref="C233:O233" si="103">IFERROR(C188/C42*1000,"")</f>
        <v>1.2007055830892626</v>
      </c>
      <c r="D233" s="52" t="str">
        <f t="shared" si="103"/>
        <v/>
      </c>
      <c r="E233" s="52" t="str">
        <f t="shared" si="103"/>
        <v/>
      </c>
      <c r="F233" s="52" t="str">
        <f t="shared" si="103"/>
        <v/>
      </c>
      <c r="G233" s="52">
        <f t="shared" si="103"/>
        <v>1.24</v>
      </c>
      <c r="H233" s="52" t="str">
        <f t="shared" si="103"/>
        <v/>
      </c>
      <c r="I233" s="52">
        <f t="shared" si="103"/>
        <v>2.2907692307692309</v>
      </c>
      <c r="J233" s="52">
        <f t="shared" si="103"/>
        <v>0.79657730380457292</v>
      </c>
      <c r="K233" s="52">
        <f t="shared" si="103"/>
        <v>0.86270450842999391</v>
      </c>
      <c r="L233" s="52">
        <f t="shared" si="103"/>
        <v>1.6100000000000003</v>
      </c>
      <c r="M233" s="52" t="str">
        <f t="shared" si="103"/>
        <v/>
      </c>
      <c r="N233" s="52">
        <f t="shared" si="103"/>
        <v>1.0774172235683108</v>
      </c>
      <c r="O233" s="52" t="str">
        <f t="shared" si="103"/>
        <v/>
      </c>
      <c r="P233" s="53"/>
      <c r="T233" s="42">
        <f>IFERROR(T188/Inputs_Summary!N74*1000,"")</f>
        <v>0.26326577723244221</v>
      </c>
    </row>
    <row r="234" spans="2:20" x14ac:dyDescent="0.3">
      <c r="B234" s="3">
        <v>2050</v>
      </c>
      <c r="C234" s="55">
        <f t="shared" ref="C234:O234" si="104">IFERROR(C189/C43*1000,"")</f>
        <v>1.237542089242305</v>
      </c>
      <c r="D234" s="55" t="str">
        <f t="shared" si="104"/>
        <v/>
      </c>
      <c r="E234" s="55" t="str">
        <f t="shared" si="104"/>
        <v/>
      </c>
      <c r="F234" s="55" t="str">
        <f t="shared" si="104"/>
        <v/>
      </c>
      <c r="G234" s="55">
        <f t="shared" si="104"/>
        <v>1.24</v>
      </c>
      <c r="H234" s="55" t="str">
        <f t="shared" si="104"/>
        <v/>
      </c>
      <c r="I234" s="55" t="str">
        <f t="shared" si="104"/>
        <v/>
      </c>
      <c r="J234" s="55" t="str">
        <f t="shared" si="104"/>
        <v/>
      </c>
      <c r="K234" s="55" t="str">
        <f t="shared" si="104"/>
        <v/>
      </c>
      <c r="L234" s="55" t="str">
        <f t="shared" si="104"/>
        <v/>
      </c>
      <c r="M234" s="55" t="str">
        <f t="shared" si="104"/>
        <v/>
      </c>
      <c r="N234" s="55">
        <f t="shared" si="104"/>
        <v>1.0642053363438209</v>
      </c>
      <c r="O234" s="55" t="str">
        <f t="shared" si="104"/>
        <v/>
      </c>
      <c r="P234" s="53"/>
      <c r="T234" s="42">
        <f>IFERROR(T189/Inputs_Summary!N75*1000,"")</f>
        <v>0.20424913547943749</v>
      </c>
    </row>
    <row r="235" spans="2:20" s="11" customFormat="1" x14ac:dyDescent="0.3"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T235" s="54"/>
    </row>
    <row r="236" spans="2:20" ht="28.8" x14ac:dyDescent="0.3">
      <c r="B236" s="43" t="s">
        <v>49</v>
      </c>
      <c r="T236" s="42"/>
    </row>
    <row r="237" spans="2:20" x14ac:dyDescent="0.3">
      <c r="B237" s="3">
        <v>2016</v>
      </c>
      <c r="C237" s="48" t="str">
        <f t="shared" ref="C237:O237" si="105">IFERROR(C206/C46*1000,"")</f>
        <v/>
      </c>
      <c r="D237" s="48" t="str">
        <f t="shared" si="105"/>
        <v/>
      </c>
      <c r="E237" s="48" t="str">
        <f t="shared" si="105"/>
        <v/>
      </c>
      <c r="F237" s="48" t="str">
        <f t="shared" si="105"/>
        <v/>
      </c>
      <c r="G237" s="48" t="str">
        <f t="shared" si="105"/>
        <v/>
      </c>
      <c r="H237" s="48" t="str">
        <f t="shared" si="105"/>
        <v/>
      </c>
      <c r="I237" s="48" t="str">
        <f t="shared" si="105"/>
        <v/>
      </c>
      <c r="J237" s="48" t="str">
        <f t="shared" si="105"/>
        <v/>
      </c>
      <c r="K237" s="48" t="str">
        <f t="shared" si="105"/>
        <v/>
      </c>
      <c r="L237" s="48" t="str">
        <f t="shared" si="105"/>
        <v/>
      </c>
      <c r="M237" s="48" t="str">
        <f t="shared" si="105"/>
        <v/>
      </c>
      <c r="N237" s="48" t="str">
        <f t="shared" si="105"/>
        <v/>
      </c>
      <c r="O237" s="48" t="str">
        <f t="shared" si="105"/>
        <v/>
      </c>
      <c r="P237" s="53"/>
      <c r="T237" s="42">
        <f>IFERROR(T206/Inputs_Summary!N72*1000,"")</f>
        <v>0</v>
      </c>
    </row>
    <row r="238" spans="2:20" x14ac:dyDescent="0.3">
      <c r="B238" s="3">
        <v>2030</v>
      </c>
      <c r="C238" s="48" t="str">
        <f t="shared" ref="C238:O238" si="106">IFERROR(C207/C47*1000,"")</f>
        <v/>
      </c>
      <c r="D238" s="48" t="str">
        <f t="shared" si="106"/>
        <v/>
      </c>
      <c r="E238" s="48">
        <f t="shared" si="106"/>
        <v>1.5943438090013495</v>
      </c>
      <c r="F238" s="48">
        <f t="shared" si="106"/>
        <v>3.7049839744466015</v>
      </c>
      <c r="G238" s="48" t="str">
        <f t="shared" si="106"/>
        <v/>
      </c>
      <c r="H238" s="48">
        <f t="shared" si="106"/>
        <v>0.59669411026081387</v>
      </c>
      <c r="I238" s="48" t="str">
        <f t="shared" si="106"/>
        <v/>
      </c>
      <c r="J238" s="48">
        <f t="shared" si="106"/>
        <v>0.54468720559785455</v>
      </c>
      <c r="K238" s="48" t="str">
        <f t="shared" si="106"/>
        <v/>
      </c>
      <c r="L238" s="48" t="str">
        <f t="shared" si="106"/>
        <v/>
      </c>
      <c r="M238" s="48" t="str">
        <f t="shared" si="106"/>
        <v/>
      </c>
      <c r="N238" s="48" t="str">
        <f t="shared" si="106"/>
        <v/>
      </c>
      <c r="O238" s="48" t="str">
        <f t="shared" si="106"/>
        <v/>
      </c>
      <c r="P238" s="53"/>
      <c r="T238" s="42">
        <f>IFERROR(T207/Inputs_Summary!N73*1000,"")</f>
        <v>0.16227937552423313</v>
      </c>
    </row>
    <row r="239" spans="2:20" x14ac:dyDescent="0.3">
      <c r="B239" s="3">
        <v>2040</v>
      </c>
      <c r="C239" s="48" t="str">
        <f t="shared" ref="C239:O239" si="107">IFERROR(C208/C48*1000,"")</f>
        <v/>
      </c>
      <c r="D239" s="48" t="str">
        <f t="shared" si="107"/>
        <v/>
      </c>
      <c r="E239" s="48">
        <f t="shared" si="107"/>
        <v>1.5477826889381379</v>
      </c>
      <c r="F239" s="48">
        <f t="shared" si="107"/>
        <v>4.0607097912686818</v>
      </c>
      <c r="G239" s="48" t="str">
        <f t="shared" si="107"/>
        <v/>
      </c>
      <c r="H239" s="48">
        <f t="shared" si="107"/>
        <v>0.62304882187754607</v>
      </c>
      <c r="I239" s="48" t="str">
        <f t="shared" si="107"/>
        <v/>
      </c>
      <c r="J239" s="48">
        <f t="shared" si="107"/>
        <v>0.53240373419901721</v>
      </c>
      <c r="K239" s="48">
        <f t="shared" si="107"/>
        <v>1.6716985231035921</v>
      </c>
      <c r="L239" s="48" t="str">
        <f t="shared" si="107"/>
        <v/>
      </c>
      <c r="M239" s="48" t="str">
        <f t="shared" si="107"/>
        <v/>
      </c>
      <c r="N239" s="48" t="str">
        <f t="shared" si="107"/>
        <v/>
      </c>
      <c r="O239" s="48" t="str">
        <f t="shared" si="107"/>
        <v/>
      </c>
      <c r="P239" s="53"/>
      <c r="T239" s="42">
        <f>IFERROR(T208/Inputs_Summary!N74*1000,"")</f>
        <v>0.4875104739031032</v>
      </c>
    </row>
    <row r="240" spans="2:20" x14ac:dyDescent="0.3">
      <c r="B240" s="3">
        <v>2050</v>
      </c>
      <c r="C240" s="48" t="str">
        <f t="shared" ref="C240:O240" si="108">IFERROR(C209/C49*1000,"")</f>
        <v/>
      </c>
      <c r="D240" s="48" t="str">
        <f t="shared" si="108"/>
        <v/>
      </c>
      <c r="E240" s="48">
        <f t="shared" si="108"/>
        <v>1.5102181964370323</v>
      </c>
      <c r="F240" s="48">
        <f t="shared" si="108"/>
        <v>4.2245599254159121</v>
      </c>
      <c r="G240" s="48" t="str">
        <f t="shared" si="108"/>
        <v/>
      </c>
      <c r="H240" s="48">
        <f t="shared" si="108"/>
        <v>0.63092244202489112</v>
      </c>
      <c r="I240" s="48" t="str">
        <f t="shared" si="108"/>
        <v/>
      </c>
      <c r="J240" s="48">
        <f t="shared" si="108"/>
        <v>0.56131559565773104</v>
      </c>
      <c r="K240" s="48">
        <f t="shared" si="108"/>
        <v>1.7213406840794512</v>
      </c>
      <c r="L240" s="48" t="str">
        <f t="shared" si="108"/>
        <v/>
      </c>
      <c r="M240" s="48" t="str">
        <f t="shared" si="108"/>
        <v/>
      </c>
      <c r="N240" s="48" t="str">
        <f t="shared" si="108"/>
        <v/>
      </c>
      <c r="O240" s="48" t="str">
        <f t="shared" si="108"/>
        <v/>
      </c>
      <c r="P240" s="53"/>
      <c r="T240" s="42">
        <f>IFERROR(T209/Inputs_Summary!N75*1000,"")</f>
        <v>0.66949776679560025</v>
      </c>
    </row>
    <row r="241" spans="2:25" x14ac:dyDescent="0.3">
      <c r="B241" s="41"/>
    </row>
    <row r="242" spans="2:25" ht="28.8" x14ac:dyDescent="0.3">
      <c r="B242" s="43" t="s">
        <v>50</v>
      </c>
      <c r="T242" s="43" t="s">
        <v>75</v>
      </c>
      <c r="U242" s="43" t="s">
        <v>73</v>
      </c>
      <c r="V242" s="43" t="s">
        <v>74</v>
      </c>
    </row>
    <row r="243" spans="2:25" x14ac:dyDescent="0.3">
      <c r="B243" s="3">
        <v>2016</v>
      </c>
      <c r="C243" s="48">
        <f t="shared" ref="C243:O243" si="109">IFERROR(C212/C52*1000,"")</f>
        <v>0.50655526618775526</v>
      </c>
      <c r="D243" s="48">
        <f t="shared" si="109"/>
        <v>0.20487259277908632</v>
      </c>
      <c r="E243" s="48">
        <f t="shared" si="109"/>
        <v>0.95000000000000007</v>
      </c>
      <c r="F243" s="48">
        <f t="shared" si="109"/>
        <v>2.7719237674542714</v>
      </c>
      <c r="G243" s="48">
        <f t="shared" si="109"/>
        <v>0.30000000000000004</v>
      </c>
      <c r="H243" s="48">
        <f t="shared" si="109"/>
        <v>0.90627498841401932</v>
      </c>
      <c r="I243" s="48">
        <f t="shared" si="109"/>
        <v>3.2072892683226946</v>
      </c>
      <c r="J243" s="48">
        <f t="shared" si="109"/>
        <v>1.6999999999999997</v>
      </c>
      <c r="K243" s="48" t="str">
        <f t="shared" si="109"/>
        <v/>
      </c>
      <c r="L243" s="48">
        <f t="shared" si="109"/>
        <v>1.6490506641141827</v>
      </c>
      <c r="M243" s="48" t="str">
        <f t="shared" si="109"/>
        <v/>
      </c>
      <c r="N243" s="48">
        <f t="shared" si="109"/>
        <v>0.15605822366857675</v>
      </c>
      <c r="O243" s="48" t="str">
        <f t="shared" si="109"/>
        <v/>
      </c>
      <c r="P243" s="53"/>
      <c r="T243" s="47">
        <f>IFERROR(T212/Inputs_Summary!N72*1000,"")</f>
        <v>0.53699865540086611</v>
      </c>
      <c r="U243" s="42">
        <f>T243+Inputs_Summary!$O$62</f>
        <v>0.83699865540086615</v>
      </c>
      <c r="V243" s="42">
        <f>U243+Inputs_Summary!O64*T128/T52</f>
        <v>0.94267330167283891</v>
      </c>
    </row>
    <row r="244" spans="2:25" x14ac:dyDescent="0.3">
      <c r="B244" s="3">
        <v>2030</v>
      </c>
      <c r="C244" s="48">
        <f t="shared" ref="C244:O244" si="110">IFERROR(C213/C53*1000,"")</f>
        <v>0.71966365670272803</v>
      </c>
      <c r="D244" s="48">
        <f t="shared" si="110"/>
        <v>0.20578539935314821</v>
      </c>
      <c r="E244" s="48">
        <f t="shared" si="110"/>
        <v>1.2275634869544276</v>
      </c>
      <c r="F244" s="48">
        <f t="shared" si="110"/>
        <v>3.76288681339273</v>
      </c>
      <c r="G244" s="48">
        <f t="shared" si="110"/>
        <v>0.31480077120822625</v>
      </c>
      <c r="H244" s="48">
        <f t="shared" si="110"/>
        <v>0.63845252501086402</v>
      </c>
      <c r="I244" s="48">
        <f t="shared" si="110"/>
        <v>2.4586348250054351</v>
      </c>
      <c r="J244" s="48">
        <f t="shared" si="110"/>
        <v>0.75081545194488797</v>
      </c>
      <c r="K244" s="48">
        <f t="shared" si="110"/>
        <v>0.86613656781409543</v>
      </c>
      <c r="L244" s="48">
        <f t="shared" si="110"/>
        <v>1.6341577909270213</v>
      </c>
      <c r="M244" s="48" t="str">
        <f t="shared" si="110"/>
        <v/>
      </c>
      <c r="N244" s="48">
        <f t="shared" si="110"/>
        <v>0.82842406212383768</v>
      </c>
      <c r="O244" s="48" t="str">
        <f t="shared" si="110"/>
        <v/>
      </c>
      <c r="P244" s="53"/>
      <c r="T244" s="47">
        <f>IFERROR(T213/Inputs_Summary!N73*1000,"")</f>
        <v>0.76571906456460082</v>
      </c>
      <c r="U244" s="42">
        <f>T244+Inputs_Summary!$O$62</f>
        <v>1.0657190645646009</v>
      </c>
      <c r="V244" s="42">
        <f>U244+Inputs_Summary!O65*T129/T53</f>
        <v>1.1433556613803642</v>
      </c>
    </row>
    <row r="245" spans="2:25" x14ac:dyDescent="0.3">
      <c r="B245" s="3">
        <v>2040</v>
      </c>
      <c r="C245" s="48">
        <f t="shared" ref="C245:O245" si="111">IFERROR(C214/C54*1000,"")</f>
        <v>0.96149778227166161</v>
      </c>
      <c r="D245" s="48">
        <f t="shared" si="111"/>
        <v>0.20955167319888371</v>
      </c>
      <c r="E245" s="48">
        <f t="shared" si="111"/>
        <v>1.4700367883306418</v>
      </c>
      <c r="F245" s="48">
        <f t="shared" si="111"/>
        <v>4.0660461825738343</v>
      </c>
      <c r="G245" s="48">
        <f t="shared" si="111"/>
        <v>0.3159335536909908</v>
      </c>
      <c r="H245" s="48">
        <f t="shared" si="111"/>
        <v>0.62304882187754607</v>
      </c>
      <c r="I245" s="48">
        <f t="shared" si="111"/>
        <v>2.4589076373844323</v>
      </c>
      <c r="J245" s="48">
        <f t="shared" si="111"/>
        <v>0.55435845180216281</v>
      </c>
      <c r="K245" s="48">
        <f t="shared" si="111"/>
        <v>1.5243817117895726</v>
      </c>
      <c r="L245" s="48">
        <f t="shared" si="111"/>
        <v>1.634224701808388</v>
      </c>
      <c r="M245" s="48" t="str">
        <f t="shared" si="111"/>
        <v/>
      </c>
      <c r="N245" s="48">
        <f t="shared" si="111"/>
        <v>0.77392079971429106</v>
      </c>
      <c r="O245" s="48" t="str">
        <f t="shared" si="111"/>
        <v/>
      </c>
      <c r="P245" s="53"/>
      <c r="T245" s="47">
        <f>IFERROR(T214/Inputs_Summary!N74*1000,"")</f>
        <v>0.84922114696534035</v>
      </c>
      <c r="U245" s="42">
        <f>T245+Inputs_Summary!$O$62</f>
        <v>1.1492211469653404</v>
      </c>
      <c r="V245" s="42">
        <f>U245+Inputs_Summary!O66*T130/T54</f>
        <v>1.1858360785077946</v>
      </c>
    </row>
    <row r="246" spans="2:25" x14ac:dyDescent="0.3">
      <c r="B246" s="3">
        <v>2050</v>
      </c>
      <c r="C246" s="48">
        <f t="shared" ref="C246:O246" si="112">IFERROR(C215/C55*1000,"")</f>
        <v>1.2508719135367516</v>
      </c>
      <c r="D246" s="48" t="str">
        <f t="shared" si="112"/>
        <v/>
      </c>
      <c r="E246" s="48">
        <f t="shared" si="112"/>
        <v>1.4742783260188708</v>
      </c>
      <c r="F246" s="48">
        <f t="shared" si="112"/>
        <v>4.2245599254159121</v>
      </c>
      <c r="G246" s="48">
        <f t="shared" si="112"/>
        <v>0.31659170325239672</v>
      </c>
      <c r="H246" s="48">
        <f t="shared" si="112"/>
        <v>0.63092244202489112</v>
      </c>
      <c r="I246" s="48" t="str">
        <f t="shared" si="112"/>
        <v/>
      </c>
      <c r="J246" s="48">
        <f t="shared" si="112"/>
        <v>0.56131559565773104</v>
      </c>
      <c r="K246" s="48">
        <f t="shared" si="112"/>
        <v>1.7213406840794512</v>
      </c>
      <c r="L246" s="48">
        <f t="shared" si="112"/>
        <v>1.6499999999999997</v>
      </c>
      <c r="M246" s="48" t="str">
        <f t="shared" si="112"/>
        <v/>
      </c>
      <c r="N246" s="48">
        <f t="shared" si="112"/>
        <v>0.77220224835264539</v>
      </c>
      <c r="O246" s="48" t="str">
        <f t="shared" si="112"/>
        <v/>
      </c>
      <c r="P246" s="53"/>
      <c r="T246" s="47">
        <f>IFERROR(T215/Inputs_Summary!N75*1000,"")</f>
        <v>0.89849968931735391</v>
      </c>
      <c r="U246" s="42">
        <f>T246+Inputs_Summary!$O$62</f>
        <v>1.1984996893173538</v>
      </c>
      <c r="V246" s="42">
        <f>U246+Inputs_Summary!O67*T131/T55</f>
        <v>1.2222790761981182</v>
      </c>
    </row>
    <row r="247" spans="2:25" s="58" customFormat="1" ht="21" x14ac:dyDescent="0.4">
      <c r="B247" s="59"/>
      <c r="O247" s="3"/>
      <c r="P247" s="11"/>
      <c r="Q247" s="3"/>
      <c r="R247" s="3"/>
    </row>
    <row r="248" spans="2:25" s="9" customFormat="1" ht="21" x14ac:dyDescent="0.4">
      <c r="B248" s="10" t="s">
        <v>131</v>
      </c>
      <c r="Y248" s="86"/>
    </row>
    <row r="249" spans="2:25" x14ac:dyDescent="0.3">
      <c r="Y249" s="12"/>
    </row>
    <row r="250" spans="2:25" ht="28.8" x14ac:dyDescent="0.3">
      <c r="B250" s="43" t="s">
        <v>124</v>
      </c>
      <c r="C250" s="43" t="s">
        <v>0</v>
      </c>
      <c r="D250" s="43" t="s">
        <v>1</v>
      </c>
      <c r="E250" s="43" t="s">
        <v>28</v>
      </c>
      <c r="F250" s="2" t="s">
        <v>29</v>
      </c>
      <c r="G250" s="2" t="s">
        <v>6</v>
      </c>
      <c r="H250" s="43" t="s">
        <v>2</v>
      </c>
      <c r="I250" s="43" t="s">
        <v>3</v>
      </c>
      <c r="J250" s="43" t="s">
        <v>4</v>
      </c>
      <c r="K250" s="43" t="s">
        <v>9</v>
      </c>
      <c r="L250" s="43" t="s">
        <v>8</v>
      </c>
      <c r="M250" s="43" t="s">
        <v>25</v>
      </c>
      <c r="N250" s="43" t="s">
        <v>7</v>
      </c>
      <c r="O250" s="43" t="s">
        <v>89</v>
      </c>
      <c r="P250" s="25"/>
      <c r="Q250" s="43" t="s">
        <v>5</v>
      </c>
      <c r="R250" s="43" t="s">
        <v>91</v>
      </c>
      <c r="T250" s="43" t="s">
        <v>10</v>
      </c>
      <c r="Y250" s="12"/>
    </row>
    <row r="251" spans="2:25" x14ac:dyDescent="0.3">
      <c r="B251" s="3">
        <v>2016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3"/>
      <c r="Q251" s="5">
        <f>G251+N251</f>
        <v>0</v>
      </c>
      <c r="R251" s="5">
        <f>SUM(K251:L251)</f>
        <v>0</v>
      </c>
      <c r="T251" s="5">
        <f>SUM(C251:O251)</f>
        <v>0</v>
      </c>
      <c r="Y251" s="12"/>
    </row>
    <row r="252" spans="2:25" x14ac:dyDescent="0.3">
      <c r="B252" s="3">
        <v>2030</v>
      </c>
      <c r="C252" s="50">
        <f>Inputs_Summary!E$53*((C11+C17))/14/1000</f>
        <v>17416.822857142859</v>
      </c>
      <c r="D252" s="50">
        <f>Inputs_Summary!F$53*((D11+D17))/14/1000</f>
        <v>0</v>
      </c>
      <c r="E252" s="50">
        <f>Inputs_Summary!G$53*((E11+E17))/14/1000</f>
        <v>244.69714285714286</v>
      </c>
      <c r="F252" s="50">
        <f>Inputs_Summary!H$53*((F11+F17))/14/1000</f>
        <v>2515.1657142857139</v>
      </c>
      <c r="G252" s="50">
        <f>Inputs_Summary!I$53*((G11+G17))/14/1000</f>
        <v>0</v>
      </c>
      <c r="H252" s="50">
        <f>Inputs_Summary!J$53*((H11+H17))/14/1000</f>
        <v>7497.1428571428569</v>
      </c>
      <c r="I252" s="50">
        <f>Inputs_Summary!K$53*((I11+I17))/14/1000</f>
        <v>1578.5714285714287</v>
      </c>
      <c r="J252" s="50">
        <f>Inputs_Summary!L$53*((J11+J17))/14/1000</f>
        <v>5251.9314285714281</v>
      </c>
      <c r="K252" s="50">
        <f>Inputs_Summary!M$53*((K11+K17))/14/1000</f>
        <v>0</v>
      </c>
      <c r="L252" s="50">
        <f>Inputs_Summary!N$53*((L11+L17))/14/1000</f>
        <v>0</v>
      </c>
      <c r="M252" s="50">
        <f>Inputs_Summary!O$53*((M11+M17))/14/1000</f>
        <v>0</v>
      </c>
      <c r="N252" s="50">
        <f>Inputs_Summary!P$53*((N11+N17))/14/1000</f>
        <v>0</v>
      </c>
      <c r="O252" s="50">
        <f>Inputs_Summary!Q$53*((O11+O17))/14/1000</f>
        <v>0</v>
      </c>
      <c r="P252" s="53"/>
      <c r="Q252" s="5">
        <f>G252+N252</f>
        <v>0</v>
      </c>
      <c r="R252" s="5">
        <f>SUM(K252:L252)</f>
        <v>0</v>
      </c>
      <c r="T252" s="5">
        <f>SUM(C252:O252)</f>
        <v>34504.33142857143</v>
      </c>
      <c r="Y252" s="12"/>
    </row>
    <row r="253" spans="2:25" x14ac:dyDescent="0.3">
      <c r="B253" s="3">
        <v>2040</v>
      </c>
      <c r="C253" s="50">
        <f>Inputs_Summary!E$53*((C12+C18))/10/1000</f>
        <v>24383.552</v>
      </c>
      <c r="D253" s="50">
        <f>Inputs_Summary!F$53*((D12+D18))/10/1000</f>
        <v>0</v>
      </c>
      <c r="E253" s="50">
        <f>Inputs_Summary!G$53*((E12+E18))/10/1000</f>
        <v>2740.6080000000002</v>
      </c>
      <c r="F253" s="50">
        <f>Inputs_Summary!H$53*((F12+F18))/10/1000</f>
        <v>8710.4159999999993</v>
      </c>
      <c r="G253" s="50">
        <f>Inputs_Summary!I$53*((G12+G18))/10/1000</f>
        <v>0</v>
      </c>
      <c r="H253" s="50">
        <f>Inputs_Summary!J$53*((H12+H18))/10/1000</f>
        <v>26176</v>
      </c>
      <c r="I253" s="50">
        <f>Inputs_Summary!K$53*((I12+I18))/10/1000</f>
        <v>2210</v>
      </c>
      <c r="J253" s="50">
        <f>Inputs_Summary!L$53*((J12+J18))/10/1000</f>
        <v>35169.504000000001</v>
      </c>
      <c r="K253" s="50">
        <f>Inputs_Summary!M$53*((K12+K18))/10/1000</f>
        <v>0</v>
      </c>
      <c r="L253" s="50">
        <f>Inputs_Summary!N$53*((L12+L18))/10/1000</f>
        <v>0</v>
      </c>
      <c r="M253" s="50">
        <f>Inputs_Summary!O$53*((M12+M18))/10/1000</f>
        <v>0</v>
      </c>
      <c r="N253" s="50">
        <f>Inputs_Summary!P$53*((N12+N18))/10/1000</f>
        <v>0</v>
      </c>
      <c r="O253" s="50">
        <f>Inputs_Summary!Q$53*((O12+O18))/10/1000</f>
        <v>0</v>
      </c>
      <c r="P253" s="53"/>
      <c r="Q253" s="5">
        <f>G253+N253</f>
        <v>0</v>
      </c>
      <c r="R253" s="5">
        <f>SUM(K253:L253)</f>
        <v>0</v>
      </c>
      <c r="T253" s="5">
        <f>SUM(C253:O253)</f>
        <v>99390.080000000002</v>
      </c>
      <c r="Y253" s="12"/>
    </row>
    <row r="254" spans="2:25" x14ac:dyDescent="0.3">
      <c r="B254" s="3">
        <v>2050</v>
      </c>
      <c r="C254" s="50">
        <f>Inputs_Summary!E$53*((C13+C19))/10/1000</f>
        <v>24383.552</v>
      </c>
      <c r="D254" s="50">
        <f>Inputs_Summary!F$53*((D13+D19))/10/1000</f>
        <v>0</v>
      </c>
      <c r="E254" s="50">
        <f>Inputs_Summary!G$53*((E13+E19))/10/1000</f>
        <v>5481.2160000000003</v>
      </c>
      <c r="F254" s="50">
        <f>Inputs_Summary!H$53*((F13+F19))/10/1000</f>
        <v>12108.096</v>
      </c>
      <c r="G254" s="50">
        <f>Inputs_Summary!I$53*((G13+G19))/10/1000</f>
        <v>0</v>
      </c>
      <c r="H254" s="50">
        <f>Inputs_Summary!J$53*((H13+H19))/10/1000</f>
        <v>38080</v>
      </c>
      <c r="I254" s="50">
        <f>Inputs_Summary!K$53*((I13+I19))/10/1000</f>
        <v>0</v>
      </c>
      <c r="J254" s="50">
        <f>Inputs_Summary!L$53*((J13+J19))/10/1000</f>
        <v>48221.599999999999</v>
      </c>
      <c r="K254" s="50">
        <f>Inputs_Summary!M$53*((K13+K19))/10/1000</f>
        <v>0</v>
      </c>
      <c r="L254" s="50">
        <f>Inputs_Summary!N$53*((L13+L19))/10/1000</f>
        <v>0</v>
      </c>
      <c r="M254" s="50">
        <f>Inputs_Summary!O$53*((M13+M19))/10/1000</f>
        <v>0</v>
      </c>
      <c r="N254" s="50">
        <f>Inputs_Summary!P$53*((N13+N19))/10/1000</f>
        <v>0</v>
      </c>
      <c r="O254" s="50">
        <f>Inputs_Summary!Q$53*((O13+O19))/10/1000</f>
        <v>0</v>
      </c>
      <c r="P254" s="53"/>
      <c r="Q254" s="5">
        <f>G254+N254</f>
        <v>0</v>
      </c>
      <c r="R254" s="5">
        <f>SUM(K254:L254)</f>
        <v>0</v>
      </c>
      <c r="T254" s="5">
        <f>SUM(C254:O254)</f>
        <v>128274.46400000001</v>
      </c>
      <c r="Y254" s="12"/>
    </row>
    <row r="255" spans="2:25" x14ac:dyDescent="0.3">
      <c r="B255" s="41"/>
      <c r="Y255" s="12"/>
    </row>
    <row r="256" spans="2:25" ht="28.8" x14ac:dyDescent="0.3">
      <c r="B256" s="43" t="s">
        <v>125</v>
      </c>
      <c r="C256" s="43" t="s">
        <v>0</v>
      </c>
      <c r="D256" s="43" t="s">
        <v>1</v>
      </c>
      <c r="E256" s="43" t="s">
        <v>28</v>
      </c>
      <c r="F256" s="2" t="s">
        <v>29</v>
      </c>
      <c r="G256" s="2" t="s">
        <v>6</v>
      </c>
      <c r="H256" s="43" t="s">
        <v>2</v>
      </c>
      <c r="I256" s="43" t="s">
        <v>3</v>
      </c>
      <c r="J256" s="43" t="s">
        <v>4</v>
      </c>
      <c r="K256" s="43" t="s">
        <v>9</v>
      </c>
      <c r="L256" s="43" t="s">
        <v>8</v>
      </c>
      <c r="M256" s="43" t="s">
        <v>25</v>
      </c>
      <c r="N256" s="43" t="s">
        <v>7</v>
      </c>
      <c r="O256" s="43" t="s">
        <v>89</v>
      </c>
      <c r="P256" s="25"/>
      <c r="Q256" s="43" t="s">
        <v>5</v>
      </c>
      <c r="R256" s="43" t="s">
        <v>91</v>
      </c>
      <c r="T256" s="43" t="s">
        <v>10</v>
      </c>
      <c r="Y256" s="12"/>
    </row>
    <row r="257" spans="2:25" x14ac:dyDescent="0.3">
      <c r="B257" s="3">
        <v>2016</v>
      </c>
      <c r="C257" s="50">
        <f>C52*Inputs_Summary!E$54/1000</f>
        <v>47107.164827120068</v>
      </c>
      <c r="D257" s="50">
        <f>D52*Inputs_Summary!F$54/1000</f>
        <v>1194.2541863648376</v>
      </c>
      <c r="E257" s="50">
        <f>E52*Inputs_Summary!G$54/1000</f>
        <v>24.194456191623686</v>
      </c>
      <c r="F257" s="50">
        <f>F52*Inputs_Summary!H$54/1000</f>
        <v>64.778037480530941</v>
      </c>
      <c r="G257" s="50">
        <f>G52*Inputs_Summary!I$54/1000</f>
        <v>0</v>
      </c>
      <c r="H257" s="50">
        <f>H52*Inputs_Summary!J$54/1000</f>
        <v>539.58062264825435</v>
      </c>
      <c r="I257" s="50">
        <f>I52*Inputs_Summary!K$54/1000</f>
        <v>118.48109129456755</v>
      </c>
      <c r="J257" s="50">
        <f>J52*Inputs_Summary!L$54/1000</f>
        <v>290.29948580609926</v>
      </c>
      <c r="K257" s="50">
        <f>K52*Inputs_Summary!M$54/1000</f>
        <v>0</v>
      </c>
      <c r="L257" s="50">
        <f>L52*Inputs_Summary!N$54/1000</f>
        <v>0</v>
      </c>
      <c r="M257" s="50">
        <f>M52*Inputs_Summary!O$54/1000</f>
        <v>0</v>
      </c>
      <c r="N257" s="50">
        <f>N52*Inputs_Summary!P$54/1000</f>
        <v>0</v>
      </c>
      <c r="O257" s="50">
        <f>O52*Inputs_Summary!Q$54/1000</f>
        <v>0</v>
      </c>
      <c r="P257" s="53"/>
      <c r="Q257" s="5">
        <f>G257+N257</f>
        <v>0</v>
      </c>
      <c r="R257" s="5">
        <f>SUM(K257:L257)</f>
        <v>0</v>
      </c>
      <c r="T257" s="5">
        <f>SUM(C257:O257)</f>
        <v>49338.75270690598</v>
      </c>
      <c r="Y257" s="12"/>
    </row>
    <row r="258" spans="2:25" x14ac:dyDescent="0.3">
      <c r="B258" s="3">
        <v>2030</v>
      </c>
      <c r="C258" s="50">
        <f>C53*Inputs_Summary!E$54/1000</f>
        <v>45163.603719903535</v>
      </c>
      <c r="D258" s="50">
        <f>D53*Inputs_Summary!F$54/1000</f>
        <v>1181.1063821580469</v>
      </c>
      <c r="E258" s="50">
        <f>E53*Inputs_Summary!G$54/1000</f>
        <v>125.17131202929551</v>
      </c>
      <c r="F258" s="50">
        <f>F53*Inputs_Summary!H$54/1000</f>
        <v>123.66990906883981</v>
      </c>
      <c r="G258" s="50">
        <f>G53*Inputs_Summary!I$54/1000</f>
        <v>0</v>
      </c>
      <c r="H258" s="50">
        <f>H53*Inputs_Summary!J$54/1000</f>
        <v>6806.4960840441227</v>
      </c>
      <c r="I258" s="50">
        <f>I53*Inputs_Summary!K$54/1000</f>
        <v>656.88419469611222</v>
      </c>
      <c r="J258" s="50">
        <f>J53*Inputs_Summary!L$54/1000</f>
        <v>1935.0656620161224</v>
      </c>
      <c r="K258" s="50">
        <f>K53*Inputs_Summary!M$54/1000</f>
        <v>0</v>
      </c>
      <c r="L258" s="50">
        <f>L53*Inputs_Summary!N$54/1000</f>
        <v>0</v>
      </c>
      <c r="M258" s="50">
        <f>M53*Inputs_Summary!O$54/1000</f>
        <v>0</v>
      </c>
      <c r="N258" s="50">
        <f>N53*Inputs_Summary!P$54/1000</f>
        <v>0</v>
      </c>
      <c r="O258" s="50">
        <f>O53*Inputs_Summary!Q$54/1000</f>
        <v>0</v>
      </c>
      <c r="P258" s="53"/>
      <c r="Q258" s="5">
        <f>G258+N258</f>
        <v>0</v>
      </c>
      <c r="R258" s="5">
        <f>SUM(K258:L258)</f>
        <v>0</v>
      </c>
      <c r="T258" s="5">
        <f>SUM(C258:O258)</f>
        <v>55991.997263916077</v>
      </c>
      <c r="Y258" s="12"/>
    </row>
    <row r="259" spans="2:25" x14ac:dyDescent="0.3">
      <c r="B259" s="3">
        <v>2040</v>
      </c>
      <c r="C259" s="50">
        <f>C54*Inputs_Summary!E$54/1000</f>
        <v>23020.045555530938</v>
      </c>
      <c r="D259" s="50">
        <f>D54*Inputs_Summary!F$54/1000</f>
        <v>1129.7864636717916</v>
      </c>
      <c r="E259" s="50">
        <f>E54*Inputs_Summary!G$54/1000</f>
        <v>551.25907786553648</v>
      </c>
      <c r="F259" s="50">
        <f>F54*Inputs_Summary!H$54/1000</f>
        <v>246.57869327633557</v>
      </c>
      <c r="G259" s="50">
        <f>G54*Inputs_Summary!I$54/1000</f>
        <v>0</v>
      </c>
      <c r="H259" s="50">
        <f>H54*Inputs_Summary!J$54/1000</f>
        <v>15053.696709891836</v>
      </c>
      <c r="I259" s="50">
        <f>I54*Inputs_Summary!K$54/1000</f>
        <v>658.24347669957535</v>
      </c>
      <c r="J259" s="50">
        <f>J54*Inputs_Summary!L$54/1000</f>
        <v>7687.5177685442532</v>
      </c>
      <c r="K259" s="50">
        <f>K54*Inputs_Summary!M$54/1000</f>
        <v>0</v>
      </c>
      <c r="L259" s="50">
        <f>L54*Inputs_Summary!N$54/1000</f>
        <v>0</v>
      </c>
      <c r="M259" s="50">
        <f>M54*Inputs_Summary!O$54/1000</f>
        <v>0</v>
      </c>
      <c r="N259" s="50">
        <f>N54*Inputs_Summary!P$54/1000</f>
        <v>0</v>
      </c>
      <c r="O259" s="50">
        <f>O54*Inputs_Summary!Q$54/1000</f>
        <v>0</v>
      </c>
      <c r="P259" s="53"/>
      <c r="Q259" s="5">
        <f>G259+N259</f>
        <v>0</v>
      </c>
      <c r="R259" s="5">
        <f>SUM(K259:L259)</f>
        <v>0</v>
      </c>
      <c r="T259" s="5">
        <f>SUM(C259:O259)</f>
        <v>48347.127745480269</v>
      </c>
      <c r="Y259" s="12"/>
    </row>
    <row r="260" spans="2:25" x14ac:dyDescent="0.3">
      <c r="B260" s="3">
        <v>2050</v>
      </c>
      <c r="C260" s="50">
        <f>C55*Inputs_Summary!E$54/1000</f>
        <v>14174.893819022176</v>
      </c>
      <c r="D260" s="50">
        <f>D55*Inputs_Summary!F$54/1000</f>
        <v>0</v>
      </c>
      <c r="E260" s="50">
        <f>E55*Inputs_Summary!G$54/1000</f>
        <v>1126.4331776535273</v>
      </c>
      <c r="F260" s="50">
        <f>F55*Inputs_Summary!H$54/1000</f>
        <v>317.03220632157883</v>
      </c>
      <c r="G260" s="50">
        <f>G55*Inputs_Summary!I$54/1000</f>
        <v>0</v>
      </c>
      <c r="H260" s="50">
        <f>H55*Inputs_Summary!J$54/1000</f>
        <v>21626.334856958056</v>
      </c>
      <c r="I260" s="50">
        <f>I55*Inputs_Summary!K$54/1000</f>
        <v>0</v>
      </c>
      <c r="J260" s="50">
        <f>J55*Inputs_Summary!L$54/1000</f>
        <v>9254.8328252180672</v>
      </c>
      <c r="K260" s="50">
        <f>K55*Inputs_Summary!M$54/1000</f>
        <v>0</v>
      </c>
      <c r="L260" s="50">
        <f>L55*Inputs_Summary!N$54/1000</f>
        <v>0</v>
      </c>
      <c r="M260" s="50">
        <f>M55*Inputs_Summary!O$54/1000</f>
        <v>0</v>
      </c>
      <c r="N260" s="50">
        <f>N55*Inputs_Summary!P$54/1000</f>
        <v>0</v>
      </c>
      <c r="O260" s="50">
        <f>O55*Inputs_Summary!Q$54/1000</f>
        <v>0</v>
      </c>
      <c r="P260" s="53"/>
      <c r="Q260" s="5">
        <f>G260+N260</f>
        <v>0</v>
      </c>
      <c r="R260" s="5">
        <f>SUM(K260:L260)</f>
        <v>0</v>
      </c>
      <c r="T260" s="5">
        <f>SUM(C260:O260)</f>
        <v>46499.5268851734</v>
      </c>
      <c r="Y260" s="12"/>
    </row>
    <row r="261" spans="2:25" x14ac:dyDescent="0.3">
      <c r="B261" s="11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11"/>
      <c r="R261" s="11"/>
      <c r="Y261" s="12"/>
    </row>
    <row r="262" spans="2:25" ht="28.8" x14ac:dyDescent="0.3">
      <c r="B262" s="43" t="s">
        <v>126</v>
      </c>
      <c r="C262" s="43" t="s">
        <v>0</v>
      </c>
      <c r="D262" s="43" t="s">
        <v>1</v>
      </c>
      <c r="E262" s="43" t="s">
        <v>28</v>
      </c>
      <c r="F262" s="2" t="s">
        <v>29</v>
      </c>
      <c r="G262" s="2" t="s">
        <v>6</v>
      </c>
      <c r="H262" s="43" t="s">
        <v>2</v>
      </c>
      <c r="I262" s="43" t="s">
        <v>3</v>
      </c>
      <c r="J262" s="43" t="s">
        <v>4</v>
      </c>
      <c r="K262" s="43" t="s">
        <v>9</v>
      </c>
      <c r="L262" s="43" t="s">
        <v>8</v>
      </c>
      <c r="M262" s="43" t="s">
        <v>25</v>
      </c>
      <c r="N262" s="43" t="s">
        <v>7</v>
      </c>
      <c r="O262" s="43" t="s">
        <v>89</v>
      </c>
      <c r="P262" s="25"/>
      <c r="Q262" s="43" t="s">
        <v>5</v>
      </c>
      <c r="R262" s="43" t="s">
        <v>91</v>
      </c>
      <c r="T262" s="43" t="s">
        <v>10</v>
      </c>
      <c r="Y262" s="12"/>
    </row>
    <row r="263" spans="2:25" x14ac:dyDescent="0.3">
      <c r="B263" s="3">
        <v>2016</v>
      </c>
      <c r="C263" s="50">
        <v>0</v>
      </c>
      <c r="D263" s="50">
        <v>0</v>
      </c>
      <c r="E263" s="50">
        <v>0</v>
      </c>
      <c r="F263" s="50">
        <v>0</v>
      </c>
      <c r="G263" s="50">
        <v>0</v>
      </c>
      <c r="H263" s="50">
        <v>0</v>
      </c>
      <c r="I263" s="50">
        <v>0</v>
      </c>
      <c r="J263" s="50">
        <v>0</v>
      </c>
      <c r="K263" s="50">
        <v>0</v>
      </c>
      <c r="L263" s="50">
        <v>0</v>
      </c>
      <c r="M263" s="50">
        <v>0</v>
      </c>
      <c r="N263" s="50">
        <v>0</v>
      </c>
      <c r="O263" s="50">
        <v>0</v>
      </c>
      <c r="P263" s="53"/>
      <c r="Q263" s="5">
        <f>G263+N263</f>
        <v>0</v>
      </c>
      <c r="R263" s="5">
        <f>SUM(K263:L263)</f>
        <v>0</v>
      </c>
      <c r="T263" s="5">
        <f>SUM(C263:O263)</f>
        <v>0</v>
      </c>
      <c r="Y263" s="12"/>
    </row>
    <row r="264" spans="2:25" x14ac:dyDescent="0.3">
      <c r="B264" s="3">
        <v>2030</v>
      </c>
      <c r="C264" s="50">
        <f>Inputs_Summary!E$56*((C11+C17)-(C10+C16))/14/1000</f>
        <v>3771.1328571428571</v>
      </c>
      <c r="D264" s="50">
        <f>Inputs_Summary!F$56*((D11+D17)-(D10+D16))/14/1000</f>
        <v>0</v>
      </c>
      <c r="E264" s="50">
        <f>Inputs_Summary!G$56*((E11+E17)-(E10+E16))/14/1000</f>
        <v>41.828571428571429</v>
      </c>
      <c r="F264" s="50">
        <f>Inputs_Summary!H$56*((F11+F17)-(F10+F16))/14/1000</f>
        <v>429.94285714285718</v>
      </c>
      <c r="G264" s="50">
        <f>Inputs_Summary!I$56*((G11+G17)-(G10+G16))/14/1000</f>
        <v>0</v>
      </c>
      <c r="H264" s="50">
        <f>Inputs_Summary!J$56*((H11+H17)-(H10+H16))/14/1000</f>
        <v>5105.8857142857141</v>
      </c>
      <c r="I264" s="50">
        <f>Inputs_Summary!K$56*((I11+I17)-(I10+I16))/14/1000</f>
        <v>546.42857142857144</v>
      </c>
      <c r="J264" s="50">
        <f>Inputs_Summary!L$56*((J11+J17)-(J10+J16))/14/1000</f>
        <v>2963.2457142857143</v>
      </c>
      <c r="K264" s="50">
        <f>Inputs_Summary!M$56*((K11+K17)-(K10+K16))/14/1000</f>
        <v>0</v>
      </c>
      <c r="L264" s="50">
        <f>Inputs_Summary!N$56*((L11+L17)-(L10+L16))/14/1000</f>
        <v>0</v>
      </c>
      <c r="M264" s="50">
        <f>Inputs_Summary!O$56*((M11+M17)-(M10+M16))/14/1000</f>
        <v>0</v>
      </c>
      <c r="N264" s="50">
        <f>Inputs_Summary!P$56*((N11+N17)-(N10+N16))/14/1000</f>
        <v>0</v>
      </c>
      <c r="O264" s="50">
        <f>Inputs_Summary!Q$56*((O11+O17)-(O10+O16))/14/1000</f>
        <v>0</v>
      </c>
      <c r="P264" s="53"/>
      <c r="Q264" s="5">
        <f>G264+N264</f>
        <v>0</v>
      </c>
      <c r="R264" s="5">
        <f>SUM(K264:L264)</f>
        <v>0</v>
      </c>
      <c r="T264" s="5">
        <f>SUM(C264:O264)</f>
        <v>12858.464285714286</v>
      </c>
      <c r="Y264" s="12"/>
    </row>
    <row r="265" spans="2:25" x14ac:dyDescent="0.3">
      <c r="B265" s="3">
        <v>2040</v>
      </c>
      <c r="C265" s="50">
        <f>Inputs_Summary!E$56*((C12+C18))/10/1000</f>
        <v>5712.0640000000003</v>
      </c>
      <c r="D265" s="50">
        <f>Inputs_Summary!F$56*((D12+D18))/10/1000</f>
        <v>0</v>
      </c>
      <c r="E265" s="50">
        <f>Inputs_Summary!G$56*((E12+E18))/10/1000</f>
        <v>468.48</v>
      </c>
      <c r="F265" s="50">
        <f>Inputs_Summary!H$56*((F12+F18))/10/1000</f>
        <v>1488.96</v>
      </c>
      <c r="G265" s="50">
        <f>Inputs_Summary!I$56*((G12+G18))/10/1000</f>
        <v>0</v>
      </c>
      <c r="H265" s="50">
        <f>Inputs_Summary!J$56*((H12+H18))/10/1000</f>
        <v>17996</v>
      </c>
      <c r="I265" s="50">
        <f>Inputs_Summary!K$56*((I12+I18))/10/1000</f>
        <v>765</v>
      </c>
      <c r="J265" s="50">
        <f>Inputs_Summary!L$56*((J12+J18))/10/1000</f>
        <v>19843.344000000001</v>
      </c>
      <c r="K265" s="50">
        <f>Inputs_Summary!M$56*((K12+K18))/10/1000</f>
        <v>0</v>
      </c>
      <c r="L265" s="50">
        <f>Inputs_Summary!N$56*((L12+L18))/10/1000</f>
        <v>0</v>
      </c>
      <c r="M265" s="50">
        <f>Inputs_Summary!O$56*((M12+M18))/10/1000</f>
        <v>0</v>
      </c>
      <c r="N265" s="50">
        <f>Inputs_Summary!P$56*((N12+N18))/10/1000</f>
        <v>0</v>
      </c>
      <c r="O265" s="50">
        <f>Inputs_Summary!Q$56*((O12+O18))/10/1000</f>
        <v>0</v>
      </c>
      <c r="P265" s="53"/>
      <c r="Q265" s="5">
        <f>G265+N265</f>
        <v>0</v>
      </c>
      <c r="R265" s="5">
        <f>SUM(K265:L265)</f>
        <v>0</v>
      </c>
      <c r="T265" s="5">
        <f>SUM(C265:O265)</f>
        <v>46273.847999999998</v>
      </c>
      <c r="Y265" s="12"/>
    </row>
    <row r="266" spans="2:25" x14ac:dyDescent="0.3">
      <c r="B266" s="3">
        <v>2050</v>
      </c>
      <c r="C266" s="50">
        <f>Inputs_Summary!E$56*((C13+C19))/10/1000</f>
        <v>5712.0640000000003</v>
      </c>
      <c r="D266" s="50">
        <f>Inputs_Summary!F$56*((D13+D19))/10/1000</f>
        <v>0</v>
      </c>
      <c r="E266" s="50">
        <f>Inputs_Summary!G$56*((E13+E19))/10/1000</f>
        <v>936.96</v>
      </c>
      <c r="F266" s="50">
        <f>Inputs_Summary!H$56*((F13+F19))/10/1000</f>
        <v>2069.7600000000002</v>
      </c>
      <c r="G266" s="50">
        <f>Inputs_Summary!I$56*((G13+G19))/10/1000</f>
        <v>0</v>
      </c>
      <c r="H266" s="50">
        <f>Inputs_Summary!J$56*((H13+H19))/10/1000</f>
        <v>26180</v>
      </c>
      <c r="I266" s="50">
        <f>Inputs_Summary!K$56*((I13+I19))/10/1000</f>
        <v>0</v>
      </c>
      <c r="J266" s="50">
        <f>Inputs_Summary!L$56*((J13+J19))/10/1000</f>
        <v>27207.599999999999</v>
      </c>
      <c r="K266" s="50">
        <f>Inputs_Summary!M$56*((K13+K19))/10/1000</f>
        <v>0</v>
      </c>
      <c r="L266" s="50">
        <f>Inputs_Summary!N$56*((L13+L19))/10/1000</f>
        <v>0</v>
      </c>
      <c r="M266" s="50">
        <f>Inputs_Summary!O$56*((M13+M19))/10/1000</f>
        <v>0</v>
      </c>
      <c r="N266" s="50">
        <f>Inputs_Summary!P$56*((N13+N19))/10/1000</f>
        <v>0</v>
      </c>
      <c r="O266" s="50">
        <f>Inputs_Summary!Q$56*((O13+O19))/10/1000</f>
        <v>0</v>
      </c>
      <c r="P266" s="53"/>
      <c r="Q266" s="5">
        <f>G266+N266</f>
        <v>0</v>
      </c>
      <c r="R266" s="5">
        <f>SUM(K266:L266)</f>
        <v>0</v>
      </c>
      <c r="T266" s="5">
        <f>SUM(C266:O266)</f>
        <v>62106.383999999998</v>
      </c>
      <c r="Y266" s="12"/>
    </row>
    <row r="267" spans="2:25" x14ac:dyDescent="0.3">
      <c r="B267" s="41"/>
      <c r="Y267" s="12"/>
    </row>
    <row r="268" spans="2:25" ht="28.8" x14ac:dyDescent="0.3">
      <c r="B268" s="43" t="s">
        <v>127</v>
      </c>
      <c r="C268" s="43" t="s">
        <v>0</v>
      </c>
      <c r="D268" s="43" t="s">
        <v>1</v>
      </c>
      <c r="E268" s="43" t="s">
        <v>28</v>
      </c>
      <c r="F268" s="2" t="s">
        <v>29</v>
      </c>
      <c r="G268" s="2" t="s">
        <v>6</v>
      </c>
      <c r="H268" s="43" t="s">
        <v>2</v>
      </c>
      <c r="I268" s="43" t="s">
        <v>3</v>
      </c>
      <c r="J268" s="43" t="s">
        <v>4</v>
      </c>
      <c r="K268" s="43" t="s">
        <v>9</v>
      </c>
      <c r="L268" s="43" t="s">
        <v>8</v>
      </c>
      <c r="M268" s="43" t="s">
        <v>25</v>
      </c>
      <c r="N268" s="43" t="s">
        <v>7</v>
      </c>
      <c r="O268" s="43" t="s">
        <v>89</v>
      </c>
      <c r="P268" s="25"/>
      <c r="Q268" s="43" t="s">
        <v>5</v>
      </c>
      <c r="R268" s="43" t="s">
        <v>91</v>
      </c>
      <c r="T268" s="43" t="s">
        <v>10</v>
      </c>
      <c r="Y268" s="12"/>
    </row>
    <row r="269" spans="2:25" x14ac:dyDescent="0.3">
      <c r="B269" s="38"/>
      <c r="C269" s="50">
        <f>C52*Inputs_Summary!E$57/1000</f>
        <v>29441.978016950041</v>
      </c>
      <c r="D269" s="50">
        <f>D52*Inputs_Summary!F$57/1000</f>
        <v>176.92654612812407</v>
      </c>
      <c r="E269" s="50">
        <f>E52*Inputs_Summary!G$57/1000</f>
        <v>4.5364605359294412</v>
      </c>
      <c r="F269" s="50">
        <f>F52*Inputs_Summary!H$57/1000</f>
        <v>12.145882027599551</v>
      </c>
      <c r="G269" s="50">
        <f>G52*Inputs_Summary!I$57/1000</f>
        <v>0</v>
      </c>
      <c r="H269" s="50">
        <f>H52*Inputs_Summary!J$57/1000</f>
        <v>17.986020754941812</v>
      </c>
      <c r="I269" s="50">
        <f>I52*Inputs_Summary!K$57/1000</f>
        <v>13.670895149373179</v>
      </c>
      <c r="J269" s="50">
        <f>J52*Inputs_Summary!L$57/1000</f>
        <v>47.503552222816239</v>
      </c>
      <c r="K269" s="50">
        <f>K52*Inputs_Summary!M$57/1000</f>
        <v>0</v>
      </c>
      <c r="L269" s="50">
        <f>L52*Inputs_Summary!N$57/1000</f>
        <v>0</v>
      </c>
      <c r="M269" s="50">
        <f>M52*Inputs_Summary!O$57/1000</f>
        <v>0</v>
      </c>
      <c r="N269" s="50">
        <f>N52*Inputs_Summary!P$57/1000</f>
        <v>0</v>
      </c>
      <c r="O269" s="50">
        <f>O52*Inputs_Summary!Q$57/1000</f>
        <v>0</v>
      </c>
      <c r="P269" s="53"/>
      <c r="Q269" s="5">
        <f>G269+N269</f>
        <v>0</v>
      </c>
      <c r="R269" s="5">
        <f>SUM(K269:L269)</f>
        <v>0</v>
      </c>
      <c r="T269" s="5">
        <f>SUM(C269:O269)</f>
        <v>29714.747373768827</v>
      </c>
      <c r="Y269" s="12"/>
    </row>
    <row r="270" spans="2:25" x14ac:dyDescent="0.3">
      <c r="C270" s="50">
        <f>C53*Inputs_Summary!E$57/1000</f>
        <v>28227.252324939709</v>
      </c>
      <c r="D270" s="50">
        <f>D53*Inputs_Summary!F$57/1000</f>
        <v>174.9787232826736</v>
      </c>
      <c r="E270" s="50">
        <f>E53*Inputs_Summary!G$57/1000</f>
        <v>23.469621005492911</v>
      </c>
      <c r="F270" s="50">
        <f>F53*Inputs_Summary!H$57/1000</f>
        <v>23.188107950407467</v>
      </c>
      <c r="G270" s="50">
        <f>G53*Inputs_Summary!I$57/1000</f>
        <v>0</v>
      </c>
      <c r="H270" s="50">
        <f>H53*Inputs_Summary!J$57/1000</f>
        <v>226.88320280147076</v>
      </c>
      <c r="I270" s="50">
        <f>I53*Inputs_Summary!K$57/1000</f>
        <v>75.794330157243706</v>
      </c>
      <c r="J270" s="50">
        <f>J53*Inputs_Summary!L$57/1000</f>
        <v>316.64710832991096</v>
      </c>
      <c r="K270" s="50">
        <f>K53*Inputs_Summary!M$57/1000</f>
        <v>0</v>
      </c>
      <c r="L270" s="50">
        <f>L53*Inputs_Summary!N$57/1000</f>
        <v>0</v>
      </c>
      <c r="M270" s="50">
        <f>M53*Inputs_Summary!O$57/1000</f>
        <v>0</v>
      </c>
      <c r="N270" s="50">
        <f>N53*Inputs_Summary!P$57/1000</f>
        <v>0</v>
      </c>
      <c r="O270" s="50">
        <f>O53*Inputs_Summary!Q$57/1000</f>
        <v>0</v>
      </c>
      <c r="P270" s="53"/>
      <c r="Q270" s="5">
        <f>G270+N270</f>
        <v>0</v>
      </c>
      <c r="R270" s="5">
        <f>SUM(K270:L270)</f>
        <v>0</v>
      </c>
      <c r="T270" s="5">
        <f>SUM(C270:O270)</f>
        <v>29068.213418466912</v>
      </c>
      <c r="Y270" s="12"/>
    </row>
    <row r="271" spans="2:25" x14ac:dyDescent="0.3">
      <c r="C271" s="50">
        <f>C54*Inputs_Summary!E$57/1000</f>
        <v>14387.528472206837</v>
      </c>
      <c r="D271" s="50">
        <f>D54*Inputs_Summary!F$57/1000</f>
        <v>167.375772395821</v>
      </c>
      <c r="E271" s="50">
        <f>E54*Inputs_Summary!G$57/1000</f>
        <v>103.36107709978809</v>
      </c>
      <c r="F271" s="50">
        <f>F54*Inputs_Summary!H$57/1000</f>
        <v>46.23350498931292</v>
      </c>
      <c r="G271" s="50">
        <f>G54*Inputs_Summary!I$57/1000</f>
        <v>0</v>
      </c>
      <c r="H271" s="50">
        <f>H54*Inputs_Summary!J$57/1000</f>
        <v>501.78989032972783</v>
      </c>
      <c r="I271" s="50">
        <f>I54*Inputs_Summary!K$57/1000</f>
        <v>75.95117038841255</v>
      </c>
      <c r="J271" s="50">
        <f>J54*Inputs_Summary!L$57/1000</f>
        <v>1257.9574530345142</v>
      </c>
      <c r="K271" s="50">
        <f>K54*Inputs_Summary!M$57/1000</f>
        <v>0</v>
      </c>
      <c r="L271" s="50">
        <f>L54*Inputs_Summary!N$57/1000</f>
        <v>0</v>
      </c>
      <c r="M271" s="50">
        <f>M54*Inputs_Summary!O$57/1000</f>
        <v>0</v>
      </c>
      <c r="N271" s="50">
        <f>N54*Inputs_Summary!P$57/1000</f>
        <v>0</v>
      </c>
      <c r="O271" s="50">
        <f>O54*Inputs_Summary!Q$57/1000</f>
        <v>0</v>
      </c>
      <c r="P271" s="53"/>
      <c r="Q271" s="5">
        <f>G271+N271</f>
        <v>0</v>
      </c>
      <c r="R271" s="5">
        <f>SUM(K271:L271)</f>
        <v>0</v>
      </c>
      <c r="T271" s="5">
        <f>SUM(C271:O271)</f>
        <v>16540.197340444414</v>
      </c>
      <c r="Y271" s="12"/>
    </row>
    <row r="272" spans="2:25" x14ac:dyDescent="0.3">
      <c r="C272" s="50">
        <f>C55*Inputs_Summary!E$57/1000</f>
        <v>8859.3086368888598</v>
      </c>
      <c r="D272" s="50">
        <f>D55*Inputs_Summary!F$57/1000</f>
        <v>0</v>
      </c>
      <c r="E272" s="50">
        <f>E55*Inputs_Summary!G$57/1000</f>
        <v>211.20622081003637</v>
      </c>
      <c r="F272" s="50">
        <f>F55*Inputs_Summary!H$57/1000</f>
        <v>59.443538685296026</v>
      </c>
      <c r="G272" s="50">
        <f>G55*Inputs_Summary!I$57/1000</f>
        <v>0</v>
      </c>
      <c r="H272" s="50">
        <f>H55*Inputs_Summary!J$57/1000</f>
        <v>720.87782856526837</v>
      </c>
      <c r="I272" s="50">
        <f>I55*Inputs_Summary!K$57/1000</f>
        <v>0</v>
      </c>
      <c r="J272" s="50">
        <f>J55*Inputs_Summary!L$57/1000</f>
        <v>1514.427189581138</v>
      </c>
      <c r="K272" s="50">
        <f>K55*Inputs_Summary!M$57/1000</f>
        <v>0</v>
      </c>
      <c r="L272" s="50">
        <f>L55*Inputs_Summary!N$57/1000</f>
        <v>0</v>
      </c>
      <c r="M272" s="50">
        <f>M55*Inputs_Summary!O$57/1000</f>
        <v>0</v>
      </c>
      <c r="N272" s="50">
        <f>N55*Inputs_Summary!P$57/1000</f>
        <v>0</v>
      </c>
      <c r="O272" s="50">
        <f>O55*Inputs_Summary!Q$57/1000</f>
        <v>0</v>
      </c>
      <c r="P272" s="53"/>
      <c r="Q272" s="5">
        <f>G272+N272</f>
        <v>0</v>
      </c>
      <c r="R272" s="5">
        <f>SUM(K272:L272)</f>
        <v>0</v>
      </c>
      <c r="T272" s="5">
        <f>SUM(C272:O272)</f>
        <v>11365.263414530598</v>
      </c>
      <c r="Y272" s="60"/>
    </row>
    <row r="273" spans="2:37" x14ac:dyDescent="0.3">
      <c r="B273" s="41"/>
      <c r="Y273" s="12"/>
    </row>
    <row r="274" spans="2:37" ht="28.8" x14ac:dyDescent="0.3">
      <c r="B274" s="43" t="s">
        <v>123</v>
      </c>
      <c r="C274" s="43" t="s">
        <v>0</v>
      </c>
      <c r="D274" s="43" t="s">
        <v>1</v>
      </c>
      <c r="E274" s="43" t="s">
        <v>28</v>
      </c>
      <c r="F274" s="2" t="s">
        <v>29</v>
      </c>
      <c r="G274" s="2" t="s">
        <v>6</v>
      </c>
      <c r="H274" s="43" t="s">
        <v>2</v>
      </c>
      <c r="I274" s="43" t="s">
        <v>3</v>
      </c>
      <c r="J274" s="43" t="s">
        <v>4</v>
      </c>
      <c r="K274" s="43" t="s">
        <v>9</v>
      </c>
      <c r="L274" s="43" t="s">
        <v>8</v>
      </c>
      <c r="M274" s="43" t="s">
        <v>25</v>
      </c>
      <c r="N274" s="43" t="s">
        <v>7</v>
      </c>
      <c r="O274" s="43" t="s">
        <v>89</v>
      </c>
      <c r="P274" s="25"/>
      <c r="Q274" s="43" t="s">
        <v>5</v>
      </c>
      <c r="R274" s="43" t="s">
        <v>91</v>
      </c>
      <c r="T274" s="43" t="s">
        <v>10</v>
      </c>
      <c r="Y274" s="12"/>
    </row>
    <row r="275" spans="2:37" x14ac:dyDescent="0.3">
      <c r="B275" s="38"/>
      <c r="C275" s="50">
        <f>C251+C257+C263+C269</f>
        <v>76549.142844070113</v>
      </c>
      <c r="D275" s="50">
        <f t="shared" ref="D275:O275" si="113">D251+D257+D263+D269</f>
        <v>1371.1807324929616</v>
      </c>
      <c r="E275" s="50">
        <f t="shared" si="113"/>
        <v>28.730916727553129</v>
      </c>
      <c r="F275" s="50">
        <f t="shared" si="113"/>
        <v>76.923919508130496</v>
      </c>
      <c r="G275" s="50">
        <f t="shared" si="113"/>
        <v>0</v>
      </c>
      <c r="H275" s="50">
        <f t="shared" si="113"/>
        <v>557.56664340319617</v>
      </c>
      <c r="I275" s="50">
        <f t="shared" si="113"/>
        <v>132.15198644394073</v>
      </c>
      <c r="J275" s="50">
        <f t="shared" si="113"/>
        <v>337.80303802891547</v>
      </c>
      <c r="K275" s="50">
        <f t="shared" si="113"/>
        <v>0</v>
      </c>
      <c r="L275" s="50">
        <f t="shared" si="113"/>
        <v>0</v>
      </c>
      <c r="M275" s="50">
        <f t="shared" si="113"/>
        <v>0</v>
      </c>
      <c r="N275" s="50">
        <f t="shared" si="113"/>
        <v>0</v>
      </c>
      <c r="O275" s="50">
        <f t="shared" si="113"/>
        <v>0</v>
      </c>
      <c r="P275" s="53"/>
      <c r="Q275" s="5">
        <f>G275+N275</f>
        <v>0</v>
      </c>
      <c r="R275" s="5">
        <f>SUM(K275:L275)</f>
        <v>0</v>
      </c>
      <c r="T275" s="5">
        <f>SUM(C275:O275)</f>
        <v>79053.500080674828</v>
      </c>
      <c r="Y275" s="12"/>
    </row>
    <row r="276" spans="2:37" x14ac:dyDescent="0.3">
      <c r="C276" s="50">
        <f t="shared" ref="C276:O278" si="114">C252+C258+C264+C270</f>
        <v>94578.811759128963</v>
      </c>
      <c r="D276" s="50">
        <f t="shared" si="114"/>
        <v>1356.0851054407206</v>
      </c>
      <c r="E276" s="50">
        <f t="shared" si="114"/>
        <v>435.1666473205027</v>
      </c>
      <c r="F276" s="50">
        <f t="shared" si="114"/>
        <v>3091.9665884478181</v>
      </c>
      <c r="G276" s="50">
        <f t="shared" si="114"/>
        <v>0</v>
      </c>
      <c r="H276" s="50">
        <f t="shared" si="114"/>
        <v>19636.40785827416</v>
      </c>
      <c r="I276" s="50">
        <f t="shared" si="114"/>
        <v>2857.6785248533561</v>
      </c>
      <c r="J276" s="50">
        <f t="shared" si="114"/>
        <v>10466.889913203177</v>
      </c>
      <c r="K276" s="50">
        <f t="shared" si="114"/>
        <v>0</v>
      </c>
      <c r="L276" s="50">
        <f t="shared" si="114"/>
        <v>0</v>
      </c>
      <c r="M276" s="50">
        <f t="shared" si="114"/>
        <v>0</v>
      </c>
      <c r="N276" s="50">
        <f t="shared" si="114"/>
        <v>0</v>
      </c>
      <c r="O276" s="50">
        <f t="shared" si="114"/>
        <v>0</v>
      </c>
      <c r="P276" s="53"/>
      <c r="Q276" s="5">
        <f>G276+N276</f>
        <v>0</v>
      </c>
      <c r="R276" s="5">
        <f>SUM(K276:L276)</f>
        <v>0</v>
      </c>
      <c r="T276" s="5">
        <f>SUM(C276:O276)</f>
        <v>132423.0063966687</v>
      </c>
      <c r="Y276" s="12"/>
    </row>
    <row r="277" spans="2:37" x14ac:dyDescent="0.3">
      <c r="C277" s="50">
        <f t="shared" si="114"/>
        <v>67503.190027737772</v>
      </c>
      <c r="D277" s="50">
        <f t="shared" si="114"/>
        <v>1297.1622360676126</v>
      </c>
      <c r="E277" s="50">
        <f t="shared" si="114"/>
        <v>3863.7081549653249</v>
      </c>
      <c r="F277" s="50">
        <f t="shared" si="114"/>
        <v>10492.188198265647</v>
      </c>
      <c r="G277" s="50">
        <f t="shared" si="114"/>
        <v>0</v>
      </c>
      <c r="H277" s="50">
        <f t="shared" si="114"/>
        <v>59727.486600221564</v>
      </c>
      <c r="I277" s="50">
        <f t="shared" si="114"/>
        <v>3709.194647087988</v>
      </c>
      <c r="J277" s="50">
        <f t="shared" si="114"/>
        <v>63958.323221578772</v>
      </c>
      <c r="K277" s="50">
        <f t="shared" si="114"/>
        <v>0</v>
      </c>
      <c r="L277" s="50">
        <f t="shared" si="114"/>
        <v>0</v>
      </c>
      <c r="M277" s="50">
        <f t="shared" si="114"/>
        <v>0</v>
      </c>
      <c r="N277" s="50">
        <f t="shared" si="114"/>
        <v>0</v>
      </c>
      <c r="O277" s="50">
        <f t="shared" si="114"/>
        <v>0</v>
      </c>
      <c r="P277" s="53"/>
      <c r="Q277" s="5">
        <f>G277+N277</f>
        <v>0</v>
      </c>
      <c r="R277" s="5">
        <f>SUM(K277:L277)</f>
        <v>0</v>
      </c>
      <c r="T277" s="5">
        <f>SUM(C277:O277)</f>
        <v>210551.25308592466</v>
      </c>
      <c r="Y277" s="12"/>
    </row>
    <row r="278" spans="2:37" x14ac:dyDescent="0.3">
      <c r="C278" s="50">
        <f t="shared" si="114"/>
        <v>53129.818455911038</v>
      </c>
      <c r="D278" s="50">
        <f t="shared" si="114"/>
        <v>0</v>
      </c>
      <c r="E278" s="50">
        <f t="shared" si="114"/>
        <v>7755.8153984635637</v>
      </c>
      <c r="F278" s="50">
        <f t="shared" si="114"/>
        <v>14554.331745006875</v>
      </c>
      <c r="G278" s="50">
        <f t="shared" si="114"/>
        <v>0</v>
      </c>
      <c r="H278" s="50">
        <f t="shared" si="114"/>
        <v>86607.212685523322</v>
      </c>
      <c r="I278" s="50">
        <f t="shared" si="114"/>
        <v>0</v>
      </c>
      <c r="J278" s="50">
        <f t="shared" si="114"/>
        <v>86198.460014799202</v>
      </c>
      <c r="K278" s="50">
        <f t="shared" si="114"/>
        <v>0</v>
      </c>
      <c r="L278" s="50">
        <f t="shared" si="114"/>
        <v>0</v>
      </c>
      <c r="M278" s="50">
        <f t="shared" si="114"/>
        <v>0</v>
      </c>
      <c r="N278" s="50">
        <f t="shared" si="114"/>
        <v>0</v>
      </c>
      <c r="O278" s="50">
        <f t="shared" si="114"/>
        <v>0</v>
      </c>
      <c r="P278" s="53"/>
      <c r="Q278" s="5">
        <f>G278+N278</f>
        <v>0</v>
      </c>
      <c r="R278" s="5">
        <f>SUM(K278:L278)</f>
        <v>0</v>
      </c>
      <c r="T278" s="5">
        <f>SUM(C278:O278)</f>
        <v>248245.63829970401</v>
      </c>
      <c r="Y278" s="60"/>
    </row>
    <row r="279" spans="2:37" s="58" customFormat="1" ht="21" x14ac:dyDescent="0.4">
      <c r="B279" s="59"/>
      <c r="P279" s="11"/>
    </row>
    <row r="280" spans="2:37" s="11" customFormat="1" x14ac:dyDescent="0.3">
      <c r="B280" s="25"/>
      <c r="C280" s="25"/>
      <c r="D280" s="25"/>
      <c r="E280" s="25"/>
      <c r="F280" s="60"/>
      <c r="G280" s="60"/>
      <c r="H280" s="25"/>
      <c r="I280" s="25"/>
      <c r="J280" s="25"/>
      <c r="K280" s="25"/>
      <c r="L280" s="25"/>
      <c r="M280" s="25"/>
      <c r="N280" s="25"/>
      <c r="O280" s="25"/>
      <c r="Q280" s="25"/>
      <c r="R280" s="25"/>
      <c r="S280" s="25"/>
      <c r="T280" s="25"/>
      <c r="U280" s="25"/>
      <c r="V280" s="25"/>
      <c r="X280" s="25"/>
    </row>
    <row r="281" spans="2:37" s="11" customFormat="1" x14ac:dyDescent="0.3"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Q281" s="62"/>
      <c r="R281" s="62"/>
      <c r="S281" s="62"/>
      <c r="T281" s="57"/>
      <c r="U281" s="57"/>
      <c r="V281" s="57"/>
      <c r="W281" s="57"/>
      <c r="X281" s="57"/>
      <c r="Z281" s="77"/>
      <c r="AA281" s="77"/>
      <c r="AB281" s="77"/>
      <c r="AC281" s="12"/>
      <c r="AD281" s="12"/>
      <c r="AF281" s="12"/>
      <c r="AI281" s="12"/>
      <c r="AJ281" s="12"/>
    </row>
    <row r="282" spans="2:37" s="11" customFormat="1" x14ac:dyDescent="0.3"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Q282" s="62"/>
      <c r="R282" s="62"/>
      <c r="S282" s="62"/>
      <c r="T282" s="57"/>
      <c r="U282" s="57"/>
      <c r="V282" s="57"/>
      <c r="W282" s="57"/>
      <c r="X282" s="57"/>
      <c r="Z282" s="78"/>
      <c r="AA282" s="78"/>
      <c r="AB282" s="78"/>
      <c r="AC282" s="12"/>
      <c r="AD282" s="12"/>
      <c r="AF282" s="12"/>
    </row>
    <row r="283" spans="2:37" s="11" customFormat="1" x14ac:dyDescent="0.3"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Q283" s="62"/>
      <c r="R283" s="62"/>
      <c r="S283" s="62"/>
      <c r="T283" s="57"/>
      <c r="U283" s="57"/>
      <c r="V283" s="57"/>
      <c r="W283" s="57"/>
      <c r="X283" s="57"/>
      <c r="Z283" s="78"/>
      <c r="AA283" s="78"/>
      <c r="AB283" s="78"/>
      <c r="AD283" s="12"/>
      <c r="AG283" s="12"/>
      <c r="AH283" s="12"/>
      <c r="AJ283" s="12"/>
      <c r="AK283" s="12"/>
    </row>
    <row r="284" spans="2:37" s="11" customFormat="1" x14ac:dyDescent="0.3"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Q284" s="62"/>
      <c r="R284" s="62"/>
      <c r="S284" s="62"/>
      <c r="T284" s="57"/>
      <c r="U284" s="57"/>
      <c r="V284" s="57"/>
      <c r="W284" s="57"/>
      <c r="X284" s="57"/>
      <c r="Z284" s="78"/>
      <c r="AA284" s="78"/>
      <c r="AB284" s="78"/>
      <c r="AD284" s="12"/>
      <c r="AG284" s="12"/>
      <c r="AI284" s="12"/>
      <c r="AJ284" s="12"/>
    </row>
    <row r="285" spans="2:37" s="11" customFormat="1" x14ac:dyDescent="0.3">
      <c r="T285" s="57"/>
      <c r="U285" s="57"/>
      <c r="V285" s="57"/>
      <c r="W285" s="57"/>
      <c r="X285" s="57"/>
      <c r="AC285" s="12"/>
      <c r="AD285" s="12"/>
      <c r="AF285" s="12"/>
      <c r="AH285" s="12"/>
      <c r="AI285" s="12"/>
      <c r="AJ285" s="12"/>
    </row>
    <row r="286" spans="2:37" s="11" customFormat="1" x14ac:dyDescent="0.3">
      <c r="B286" s="25"/>
      <c r="C286" s="25"/>
      <c r="D286" s="25"/>
      <c r="E286" s="25"/>
      <c r="F286" s="60"/>
      <c r="G286" s="60"/>
      <c r="H286" s="25"/>
      <c r="I286" s="25"/>
      <c r="J286" s="25"/>
      <c r="K286" s="25"/>
      <c r="L286" s="25"/>
      <c r="M286" s="25"/>
      <c r="N286" s="25"/>
      <c r="O286" s="25"/>
      <c r="Q286" s="25"/>
      <c r="R286" s="25"/>
      <c r="S286" s="25"/>
      <c r="T286" s="25"/>
      <c r="U286" s="25"/>
      <c r="V286" s="25"/>
      <c r="X286" s="25"/>
      <c r="Z286" s="77"/>
      <c r="AA286" s="77"/>
      <c r="AB286" s="77"/>
      <c r="AC286" s="12"/>
      <c r="AD286" s="12"/>
      <c r="AG286" s="12"/>
      <c r="AJ286" s="12"/>
    </row>
    <row r="287" spans="2:37" s="11" customFormat="1" x14ac:dyDescent="0.3"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Q287" s="62"/>
      <c r="R287" s="62"/>
      <c r="S287" s="62"/>
      <c r="T287" s="57"/>
      <c r="U287" s="57"/>
      <c r="V287" s="57"/>
      <c r="W287" s="57"/>
      <c r="X287" s="57"/>
      <c r="Z287" s="78"/>
      <c r="AA287" s="78"/>
      <c r="AB287" s="78"/>
      <c r="AC287" s="12"/>
      <c r="AD287" s="12"/>
      <c r="AF287" s="12"/>
      <c r="AG287" s="12"/>
      <c r="AI287" s="12"/>
    </row>
    <row r="288" spans="2:37" s="11" customFormat="1" x14ac:dyDescent="0.3"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Q288" s="62"/>
      <c r="R288" s="62"/>
      <c r="S288" s="62"/>
      <c r="T288" s="57"/>
      <c r="U288" s="57"/>
      <c r="V288" s="57"/>
      <c r="W288" s="57"/>
      <c r="X288" s="57"/>
      <c r="Z288" s="78"/>
      <c r="AA288" s="78"/>
      <c r="AB288" s="78"/>
      <c r="AC288" s="12"/>
      <c r="AD288" s="12"/>
      <c r="AF288" s="12"/>
      <c r="AG288" s="12"/>
      <c r="AJ288" s="12"/>
    </row>
    <row r="289" spans="1:37" s="11" customFormat="1" x14ac:dyDescent="0.3"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Q289" s="62"/>
      <c r="R289" s="62"/>
      <c r="S289" s="62"/>
      <c r="T289" s="57"/>
      <c r="U289" s="57"/>
      <c r="V289" s="57"/>
      <c r="W289" s="57"/>
      <c r="X289" s="57"/>
      <c r="AG289" s="12"/>
      <c r="AJ289" s="12"/>
    </row>
    <row r="290" spans="1:37" s="11" customFormat="1" x14ac:dyDescent="0.3"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Q290" s="62"/>
      <c r="R290" s="62"/>
      <c r="S290" s="62"/>
      <c r="T290" s="57"/>
      <c r="U290" s="57"/>
      <c r="V290" s="57"/>
      <c r="W290" s="57"/>
      <c r="X290" s="57"/>
      <c r="AF290" s="12"/>
      <c r="AG290" s="12"/>
    </row>
    <row r="291" spans="1:37" s="11" customFormat="1" x14ac:dyDescent="0.3">
      <c r="AF291" s="12"/>
      <c r="AG291" s="12"/>
      <c r="AH291" s="12"/>
      <c r="AK291" s="12"/>
    </row>
    <row r="292" spans="1:37" s="11" customFormat="1" x14ac:dyDescent="0.3">
      <c r="B292" s="25"/>
      <c r="C292" s="25"/>
      <c r="D292" s="25"/>
      <c r="E292" s="25"/>
      <c r="F292" s="60"/>
      <c r="G292" s="60"/>
      <c r="H292" s="25"/>
      <c r="I292" s="25"/>
      <c r="J292" s="25"/>
      <c r="K292" s="25"/>
      <c r="L292" s="25"/>
      <c r="M292" s="25"/>
      <c r="N292" s="25"/>
      <c r="O292" s="25"/>
      <c r="Q292" s="25"/>
      <c r="R292" s="25"/>
      <c r="S292" s="25"/>
      <c r="T292" s="25"/>
      <c r="U292" s="25"/>
      <c r="V292" s="25"/>
      <c r="X292" s="25"/>
      <c r="Y292" s="25"/>
      <c r="Z292" s="25"/>
      <c r="AA292" s="25"/>
      <c r="AG292" s="12"/>
    </row>
    <row r="293" spans="1:37" s="11" customFormat="1" x14ac:dyDescent="0.3">
      <c r="A293" s="20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Q293" s="62"/>
      <c r="R293" s="62"/>
      <c r="S293" s="62"/>
      <c r="T293" s="57"/>
      <c r="U293" s="57"/>
      <c r="V293" s="57"/>
      <c r="W293" s="57"/>
      <c r="X293" s="57"/>
      <c r="Y293" s="24"/>
      <c r="Z293" s="24"/>
      <c r="AA293" s="26"/>
      <c r="AD293" s="12"/>
      <c r="AF293" s="12"/>
      <c r="AG293" s="12"/>
      <c r="AH293" s="12"/>
      <c r="AJ293" s="12"/>
      <c r="AK293" s="12"/>
    </row>
    <row r="294" spans="1:37" s="11" customFormat="1" x14ac:dyDescent="0.3">
      <c r="A294" s="20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Q294" s="62"/>
      <c r="R294" s="62"/>
      <c r="S294" s="62"/>
      <c r="T294" s="57"/>
      <c r="U294" s="57"/>
      <c r="V294" s="57"/>
      <c r="W294" s="57"/>
      <c r="X294" s="57"/>
      <c r="Y294" s="24"/>
      <c r="Z294" s="24"/>
      <c r="AA294" s="26"/>
      <c r="AC294" s="12"/>
      <c r="AD294" s="12"/>
      <c r="AF294" s="12"/>
      <c r="AG294" s="12"/>
      <c r="AI294" s="12"/>
      <c r="AJ294" s="12"/>
    </row>
    <row r="295" spans="1:37" s="11" customFormat="1" x14ac:dyDescent="0.3">
      <c r="A295" s="20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Q295" s="62"/>
      <c r="R295" s="62"/>
      <c r="S295" s="62"/>
      <c r="T295" s="57"/>
      <c r="U295" s="57"/>
      <c r="V295" s="57"/>
      <c r="W295" s="57"/>
      <c r="X295" s="57"/>
      <c r="Y295" s="24"/>
      <c r="Z295" s="24"/>
      <c r="AA295" s="26"/>
      <c r="AC295" s="12"/>
      <c r="AD295" s="12"/>
      <c r="AF295" s="12"/>
      <c r="AG295" s="12"/>
      <c r="AI295" s="12"/>
      <c r="AJ295" s="12"/>
    </row>
    <row r="296" spans="1:37" s="11" customFormat="1" x14ac:dyDescent="0.3">
      <c r="A296" s="20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Q296" s="62"/>
      <c r="R296" s="62"/>
      <c r="S296" s="62"/>
      <c r="T296" s="57"/>
      <c r="U296" s="57"/>
      <c r="V296" s="57"/>
      <c r="W296" s="57"/>
      <c r="X296" s="57"/>
      <c r="Y296" s="24"/>
      <c r="Z296" s="24"/>
      <c r="AA296" s="26"/>
      <c r="AC296" s="12"/>
      <c r="AF296" s="12"/>
      <c r="AI296" s="12"/>
    </row>
    <row r="297" spans="1:37" s="11" customFormat="1" x14ac:dyDescent="0.3">
      <c r="AC297" s="12"/>
      <c r="AD297" s="12"/>
      <c r="AF297" s="12"/>
      <c r="AG297" s="12"/>
      <c r="AI297" s="12"/>
      <c r="AJ297" s="12"/>
    </row>
    <row r="298" spans="1:37" s="11" customFormat="1" x14ac:dyDescent="0.3"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Q298" s="26"/>
      <c r="R298" s="26"/>
      <c r="S298" s="26"/>
      <c r="T298" s="28"/>
      <c r="U298" s="28"/>
      <c r="V298" s="28"/>
      <c r="X298" s="27"/>
    </row>
    <row r="299" spans="1:37" s="11" customFormat="1" x14ac:dyDescent="0.3"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Q299" s="26"/>
      <c r="R299" s="26"/>
      <c r="S299" s="26"/>
      <c r="T299" s="28"/>
      <c r="U299" s="28"/>
      <c r="V299" s="28"/>
      <c r="X299" s="27"/>
    </row>
    <row r="300" spans="1:37" s="11" customFormat="1" x14ac:dyDescent="0.3"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Q300" s="26"/>
      <c r="R300" s="26"/>
      <c r="S300" s="26"/>
      <c r="T300" s="28"/>
      <c r="U300" s="28"/>
      <c r="V300" s="28"/>
      <c r="X300" s="27"/>
      <c r="AE300" s="12"/>
    </row>
    <row r="301" spans="1:37" s="11" customFormat="1" x14ac:dyDescent="0.3"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Q301" s="26"/>
      <c r="R301" s="26"/>
      <c r="S301" s="26"/>
      <c r="T301" s="28"/>
      <c r="U301" s="28"/>
      <c r="V301" s="28"/>
      <c r="X301" s="27"/>
    </row>
    <row r="302" spans="1:37" s="11" customFormat="1" x14ac:dyDescent="0.3"/>
    <row r="303" spans="1:37" s="58" customFormat="1" ht="21" x14ac:dyDescent="0.4">
      <c r="B303" s="59"/>
      <c r="P303" s="11"/>
    </row>
    <row r="304" spans="1:37" s="58" customFormat="1" ht="21" x14ac:dyDescent="0.4">
      <c r="B304" s="59"/>
      <c r="P304" s="11"/>
    </row>
    <row r="305" spans="2:24" s="11" customFormat="1" x14ac:dyDescent="0.3">
      <c r="B305" s="3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Q305" s="64"/>
      <c r="R305" s="64"/>
      <c r="S305" s="64"/>
    </row>
    <row r="306" spans="2:24" s="11" customFormat="1" x14ac:dyDescent="0.3">
      <c r="B306" s="25"/>
      <c r="C306" s="25"/>
      <c r="D306" s="25"/>
      <c r="E306" s="25"/>
      <c r="F306" s="60"/>
      <c r="G306" s="60"/>
      <c r="H306" s="25"/>
      <c r="I306" s="25"/>
      <c r="J306" s="25"/>
      <c r="K306" s="25"/>
      <c r="L306" s="25"/>
      <c r="M306" s="25"/>
      <c r="N306" s="25"/>
      <c r="O306" s="25"/>
      <c r="Q306" s="25"/>
      <c r="R306" s="25"/>
      <c r="S306" s="25"/>
      <c r="T306" s="25"/>
      <c r="U306" s="25"/>
      <c r="V306" s="25"/>
      <c r="X306" s="25"/>
    </row>
    <row r="307" spans="2:24" s="11" customFormat="1" x14ac:dyDescent="0.3"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Q307" s="26"/>
      <c r="R307" s="26"/>
      <c r="S307" s="26"/>
      <c r="T307" s="63"/>
      <c r="U307" s="63"/>
      <c r="V307" s="63"/>
      <c r="W307" s="57"/>
      <c r="X307" s="57"/>
    </row>
    <row r="308" spans="2:24" s="11" customFormat="1" x14ac:dyDescent="0.3"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Q308" s="26"/>
      <c r="R308" s="26"/>
      <c r="S308" s="26"/>
      <c r="T308" s="63"/>
      <c r="U308" s="63"/>
      <c r="V308" s="63"/>
      <c r="W308" s="57"/>
      <c r="X308" s="57"/>
    </row>
    <row r="309" spans="2:24" s="11" customFormat="1" x14ac:dyDescent="0.3"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Q309" s="26"/>
      <c r="R309" s="26"/>
      <c r="S309" s="26"/>
      <c r="T309" s="63"/>
      <c r="U309" s="63"/>
      <c r="V309" s="63"/>
      <c r="W309" s="57"/>
      <c r="X309" s="57"/>
    </row>
    <row r="310" spans="2:24" s="11" customFormat="1" x14ac:dyDescent="0.3"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Q310" s="26"/>
      <c r="R310" s="26"/>
      <c r="S310" s="26"/>
      <c r="T310" s="63"/>
      <c r="U310" s="63"/>
      <c r="V310" s="63"/>
      <c r="W310" s="57"/>
      <c r="X310" s="57"/>
    </row>
    <row r="311" spans="2:24" s="11" customFormat="1" x14ac:dyDescent="0.3"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Q311" s="28"/>
      <c r="R311" s="28"/>
      <c r="S311" s="28"/>
      <c r="T311" s="57"/>
      <c r="U311" s="57"/>
      <c r="V311" s="57"/>
      <c r="W311" s="57"/>
      <c r="X311" s="57"/>
    </row>
    <row r="312" spans="2:24" s="11" customFormat="1" x14ac:dyDescent="0.3">
      <c r="B312" s="25"/>
      <c r="C312" s="65"/>
      <c r="D312" s="2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Q312" s="25"/>
      <c r="R312" s="65"/>
      <c r="S312" s="65"/>
      <c r="T312" s="25"/>
      <c r="U312" s="25"/>
      <c r="V312" s="25"/>
      <c r="X312" s="25"/>
    </row>
    <row r="313" spans="2:24" s="11" customFormat="1" x14ac:dyDescent="0.3"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Q313" s="26"/>
      <c r="R313" s="26"/>
      <c r="S313" s="26"/>
      <c r="T313" s="63"/>
      <c r="U313" s="63"/>
      <c r="V313" s="63"/>
      <c r="W313" s="57"/>
      <c r="X313" s="57"/>
    </row>
    <row r="314" spans="2:24" s="11" customFormat="1" x14ac:dyDescent="0.3"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Q314" s="26"/>
      <c r="R314" s="26"/>
      <c r="S314" s="26"/>
      <c r="T314" s="63"/>
      <c r="U314" s="63"/>
      <c r="V314" s="63"/>
      <c r="W314" s="57"/>
      <c r="X314" s="57"/>
    </row>
    <row r="315" spans="2:24" s="11" customFormat="1" x14ac:dyDescent="0.3"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Q315" s="26"/>
      <c r="R315" s="26"/>
      <c r="S315" s="26"/>
      <c r="T315" s="63"/>
      <c r="U315" s="63"/>
      <c r="V315" s="63"/>
      <c r="W315" s="57"/>
      <c r="X315" s="57"/>
    </row>
    <row r="316" spans="2:24" s="11" customFormat="1" x14ac:dyDescent="0.3"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Q316" s="26"/>
      <c r="R316" s="26"/>
      <c r="S316" s="26"/>
      <c r="T316" s="63"/>
      <c r="U316" s="63"/>
      <c r="V316" s="63"/>
      <c r="W316" s="57"/>
      <c r="X316" s="57"/>
    </row>
    <row r="317" spans="2:24" s="11" customFormat="1" x14ac:dyDescent="0.3"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Q317" s="28"/>
      <c r="R317" s="28"/>
      <c r="S317" s="28"/>
    </row>
    <row r="318" spans="2:24" s="11" customFormat="1" x14ac:dyDescent="0.3">
      <c r="B318" s="25"/>
      <c r="C318" s="65"/>
      <c r="D318" s="2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Q318" s="25"/>
      <c r="R318" s="65"/>
      <c r="S318" s="65"/>
      <c r="T318" s="25"/>
      <c r="U318" s="25"/>
      <c r="V318" s="25"/>
      <c r="X318" s="25"/>
    </row>
    <row r="319" spans="2:24" s="11" customFormat="1" x14ac:dyDescent="0.3"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Q319" s="26"/>
      <c r="R319" s="26"/>
      <c r="S319" s="26"/>
      <c r="T319" s="63"/>
      <c r="U319" s="63"/>
      <c r="V319" s="63"/>
      <c r="W319" s="57"/>
      <c r="X319" s="57"/>
    </row>
    <row r="320" spans="2:24" s="11" customFormat="1" x14ac:dyDescent="0.3"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Q320" s="26"/>
      <c r="R320" s="26"/>
      <c r="S320" s="26"/>
      <c r="T320" s="63"/>
      <c r="U320" s="63"/>
      <c r="V320" s="63"/>
      <c r="W320" s="57"/>
      <c r="X320" s="57"/>
    </row>
    <row r="321" spans="2:24" s="11" customFormat="1" x14ac:dyDescent="0.3"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Q321" s="26"/>
      <c r="R321" s="26"/>
      <c r="S321" s="26"/>
      <c r="T321" s="63"/>
      <c r="U321" s="63"/>
      <c r="V321" s="63"/>
      <c r="W321" s="57"/>
      <c r="X321" s="57"/>
    </row>
    <row r="322" spans="2:24" s="11" customFormat="1" x14ac:dyDescent="0.3"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Q322" s="26"/>
      <c r="R322" s="26"/>
      <c r="S322" s="26"/>
      <c r="T322" s="63"/>
      <c r="U322" s="63"/>
      <c r="V322" s="63"/>
      <c r="W322" s="57"/>
      <c r="X322" s="57"/>
    </row>
    <row r="323" spans="2:24" s="11" customFormat="1" x14ac:dyDescent="0.3"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Q323" s="28"/>
      <c r="R323" s="28"/>
      <c r="S323" s="28"/>
    </row>
    <row r="324" spans="2:24" s="11" customFormat="1" x14ac:dyDescent="0.3">
      <c r="C324" s="12"/>
      <c r="D324" s="12"/>
      <c r="E324" s="14"/>
      <c r="F324" s="14"/>
      <c r="G324" s="14"/>
      <c r="H324" s="16"/>
      <c r="I324" s="14"/>
      <c r="J324" s="14"/>
      <c r="K324" s="16"/>
      <c r="L324" s="14"/>
      <c r="M324" s="16"/>
      <c r="N324" s="20"/>
      <c r="O324" s="20"/>
    </row>
    <row r="325" spans="2:24" s="58" customFormat="1" ht="21" x14ac:dyDescent="0.4">
      <c r="B325" s="59"/>
      <c r="P325" s="11"/>
    </row>
    <row r="326" spans="2:24" s="58" customFormat="1" ht="21" x14ac:dyDescent="0.4">
      <c r="B326" s="59"/>
      <c r="P326" s="11"/>
    </row>
    <row r="327" spans="2:24" s="58" customFormat="1" x14ac:dyDescent="0.3">
      <c r="B327" s="67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11"/>
      <c r="Q327" s="62"/>
      <c r="R327" s="62"/>
      <c r="S327" s="61"/>
    </row>
    <row r="328" spans="2:24" s="11" customFormat="1" x14ac:dyDescent="0.3">
      <c r="B328" s="25"/>
      <c r="C328" s="25"/>
      <c r="D328" s="25"/>
      <c r="E328" s="25"/>
      <c r="F328" s="60"/>
      <c r="G328" s="60"/>
      <c r="H328" s="25"/>
      <c r="I328" s="25"/>
      <c r="J328" s="25"/>
      <c r="K328" s="25"/>
      <c r="L328" s="25"/>
      <c r="M328" s="25"/>
      <c r="N328" s="25"/>
      <c r="O328" s="25"/>
      <c r="Q328" s="25"/>
      <c r="R328" s="25"/>
      <c r="S328" s="25"/>
      <c r="T328" s="25"/>
      <c r="U328" s="25"/>
      <c r="V328" s="25"/>
      <c r="X328" s="25"/>
    </row>
    <row r="329" spans="2:24" s="11" customFormat="1" x14ac:dyDescent="0.3"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Q329" s="62"/>
      <c r="R329" s="62"/>
      <c r="S329" s="62"/>
      <c r="T329" s="57"/>
      <c r="U329" s="57"/>
      <c r="V329" s="57"/>
      <c r="W329" s="57"/>
      <c r="X329" s="57"/>
    </row>
    <row r="330" spans="2:24" s="11" customFormat="1" x14ac:dyDescent="0.3"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Q330" s="62"/>
      <c r="R330" s="62"/>
      <c r="S330" s="62"/>
      <c r="T330" s="57"/>
      <c r="U330" s="57"/>
      <c r="V330" s="57"/>
      <c r="W330" s="57"/>
      <c r="X330" s="57"/>
    </row>
    <row r="331" spans="2:24" s="11" customFormat="1" x14ac:dyDescent="0.3"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Q331" s="62"/>
      <c r="R331" s="62"/>
      <c r="S331" s="62"/>
      <c r="T331" s="57"/>
      <c r="U331" s="57"/>
      <c r="V331" s="57"/>
      <c r="W331" s="57"/>
      <c r="X331" s="57"/>
    </row>
    <row r="332" spans="2:24" s="11" customFormat="1" x14ac:dyDescent="0.3"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Q332" s="62"/>
      <c r="R332" s="62"/>
      <c r="S332" s="62"/>
      <c r="T332" s="57"/>
      <c r="U332" s="57"/>
      <c r="V332" s="57"/>
      <c r="W332" s="57"/>
      <c r="X332" s="57"/>
    </row>
    <row r="333" spans="2:24" s="11" customFormat="1" x14ac:dyDescent="0.3">
      <c r="T333" s="57"/>
      <c r="U333" s="57"/>
      <c r="V333" s="57"/>
      <c r="W333" s="57"/>
      <c r="X333" s="57"/>
    </row>
    <row r="334" spans="2:24" s="11" customFormat="1" x14ac:dyDescent="0.3">
      <c r="B334" s="25"/>
      <c r="C334" s="25"/>
      <c r="D334" s="25"/>
      <c r="E334" s="25"/>
      <c r="F334" s="60"/>
      <c r="G334" s="60"/>
      <c r="H334" s="25"/>
      <c r="I334" s="25"/>
      <c r="J334" s="25"/>
      <c r="K334" s="25"/>
      <c r="L334" s="25"/>
      <c r="M334" s="25"/>
      <c r="N334" s="25"/>
      <c r="O334" s="25"/>
      <c r="Q334" s="25"/>
      <c r="R334" s="25"/>
      <c r="S334" s="25"/>
      <c r="T334" s="25"/>
      <c r="U334" s="25"/>
      <c r="V334" s="25"/>
      <c r="X334" s="25"/>
    </row>
    <row r="335" spans="2:24" s="11" customFormat="1" x14ac:dyDescent="0.3"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Q335" s="62"/>
      <c r="R335" s="62"/>
      <c r="S335" s="62"/>
      <c r="T335" s="57"/>
      <c r="U335" s="57"/>
      <c r="V335" s="57"/>
      <c r="W335" s="57"/>
      <c r="X335" s="57"/>
    </row>
    <row r="336" spans="2:24" s="11" customFormat="1" x14ac:dyDescent="0.3"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Q336" s="62"/>
      <c r="R336" s="62"/>
      <c r="S336" s="62"/>
      <c r="T336" s="57"/>
      <c r="U336" s="57"/>
      <c r="V336" s="57"/>
      <c r="W336" s="57"/>
      <c r="X336" s="57"/>
    </row>
    <row r="337" spans="2:27" s="11" customFormat="1" x14ac:dyDescent="0.3"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Q337" s="62"/>
      <c r="R337" s="62"/>
      <c r="S337" s="62"/>
      <c r="T337" s="57"/>
      <c r="U337" s="57"/>
      <c r="V337" s="57"/>
      <c r="W337" s="57"/>
      <c r="X337" s="57"/>
    </row>
    <row r="338" spans="2:27" s="11" customFormat="1" x14ac:dyDescent="0.3"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Q338" s="62"/>
      <c r="R338" s="62"/>
      <c r="S338" s="62"/>
      <c r="T338" s="57"/>
      <c r="U338" s="57"/>
      <c r="V338" s="57"/>
      <c r="W338" s="57"/>
      <c r="X338" s="57"/>
    </row>
    <row r="339" spans="2:27" s="11" customFormat="1" x14ac:dyDescent="0.3"/>
    <row r="340" spans="2:27" s="11" customFormat="1" x14ac:dyDescent="0.3">
      <c r="B340" s="25"/>
      <c r="C340" s="25"/>
      <c r="D340" s="25"/>
      <c r="E340" s="25"/>
      <c r="F340" s="60"/>
      <c r="G340" s="60"/>
      <c r="H340" s="25"/>
      <c r="I340" s="25"/>
      <c r="J340" s="25"/>
      <c r="K340" s="25"/>
      <c r="L340" s="25"/>
      <c r="M340" s="25"/>
      <c r="N340" s="25"/>
      <c r="O340" s="25"/>
      <c r="Q340" s="25"/>
      <c r="R340" s="25"/>
      <c r="S340" s="25"/>
      <c r="T340" s="25"/>
      <c r="U340" s="25"/>
      <c r="V340" s="25"/>
      <c r="X340" s="25"/>
      <c r="Y340" s="25"/>
      <c r="Z340" s="25"/>
      <c r="AA340" s="25"/>
    </row>
    <row r="341" spans="2:27" s="11" customFormat="1" x14ac:dyDescent="0.3"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Q341" s="62"/>
      <c r="R341" s="62"/>
      <c r="S341" s="62"/>
      <c r="T341" s="57"/>
      <c r="U341" s="57"/>
      <c r="V341" s="57"/>
      <c r="W341" s="57"/>
      <c r="X341" s="57"/>
      <c r="Y341" s="35"/>
      <c r="Z341" s="24"/>
      <c r="AA341" s="26"/>
    </row>
    <row r="342" spans="2:27" s="11" customFormat="1" x14ac:dyDescent="0.3"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Q342" s="62"/>
      <c r="R342" s="62"/>
      <c r="S342" s="62"/>
      <c r="T342" s="57"/>
      <c r="U342" s="57"/>
      <c r="V342" s="57"/>
      <c r="W342" s="57"/>
      <c r="X342" s="57"/>
      <c r="Y342" s="35"/>
      <c r="Z342" s="24"/>
      <c r="AA342" s="26"/>
    </row>
    <row r="343" spans="2:27" s="11" customFormat="1" x14ac:dyDescent="0.3"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Q343" s="62"/>
      <c r="R343" s="62"/>
      <c r="S343" s="62"/>
      <c r="T343" s="57"/>
      <c r="U343" s="57"/>
      <c r="V343" s="57"/>
      <c r="W343" s="57"/>
      <c r="X343" s="57"/>
      <c r="Y343" s="35"/>
      <c r="Z343" s="24"/>
      <c r="AA343" s="26"/>
    </row>
    <row r="344" spans="2:27" s="11" customFormat="1" x14ac:dyDescent="0.3"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Q344" s="62"/>
      <c r="R344" s="62"/>
      <c r="S344" s="62"/>
      <c r="T344" s="57"/>
      <c r="U344" s="57"/>
      <c r="V344" s="57"/>
      <c r="W344" s="57"/>
      <c r="X344" s="57"/>
      <c r="Y344" s="35"/>
      <c r="Z344" s="24"/>
      <c r="AA344" s="26"/>
    </row>
    <row r="345" spans="2:27" s="11" customFormat="1" x14ac:dyDescent="0.3"/>
    <row r="346" spans="2:27" s="11" customFormat="1" x14ac:dyDescent="0.3"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Q346" s="29"/>
      <c r="R346" s="29"/>
      <c r="S346" s="29"/>
      <c r="T346" s="28"/>
      <c r="U346" s="28"/>
      <c r="V346" s="28"/>
      <c r="X346" s="27"/>
    </row>
    <row r="347" spans="2:27" s="11" customFormat="1" x14ac:dyDescent="0.3"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Q347" s="29"/>
      <c r="R347" s="29"/>
      <c r="S347" s="29"/>
      <c r="T347" s="28"/>
      <c r="U347" s="28"/>
      <c r="V347" s="28"/>
      <c r="X347" s="27"/>
    </row>
    <row r="348" spans="2:27" s="11" customFormat="1" x14ac:dyDescent="0.3"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Q348" s="29"/>
      <c r="R348" s="29"/>
      <c r="S348" s="29"/>
      <c r="T348" s="28"/>
      <c r="U348" s="28"/>
      <c r="V348" s="28"/>
      <c r="X348" s="27"/>
    </row>
    <row r="349" spans="2:27" s="11" customFormat="1" x14ac:dyDescent="0.3"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Q349" s="29"/>
      <c r="R349" s="29"/>
      <c r="S349" s="29"/>
      <c r="T349" s="28"/>
      <c r="U349" s="28"/>
      <c r="V349" s="28"/>
      <c r="X349" s="27"/>
    </row>
    <row r="350" spans="2:27" s="11" customFormat="1" x14ac:dyDescent="0.3"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Q350" s="29"/>
      <c r="R350" s="29"/>
      <c r="S350" s="29"/>
      <c r="T350" s="28"/>
      <c r="U350" s="28"/>
      <c r="V350" s="28"/>
      <c r="X350" s="27"/>
    </row>
    <row r="351" spans="2:27" s="58" customFormat="1" ht="21" x14ac:dyDescent="0.4">
      <c r="B351" s="59"/>
      <c r="P351" s="11"/>
    </row>
    <row r="352" spans="2:27" s="58" customFormat="1" ht="21" x14ac:dyDescent="0.4">
      <c r="B352" s="59"/>
      <c r="P352" s="11"/>
    </row>
    <row r="353" spans="2:25" s="58" customFormat="1" ht="15.75" customHeight="1" x14ac:dyDescent="0.3">
      <c r="B353" s="67"/>
      <c r="C353" s="62"/>
      <c r="D353" s="56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11"/>
      <c r="Q353" s="62"/>
      <c r="R353" s="62"/>
      <c r="S353" s="61"/>
    </row>
    <row r="354" spans="2:25" s="58" customFormat="1" x14ac:dyDescent="0.3">
      <c r="B354" s="67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11"/>
      <c r="Q354" s="62"/>
      <c r="R354" s="62"/>
      <c r="S354" s="61"/>
    </row>
    <row r="355" spans="2:25" s="58" customFormat="1" x14ac:dyDescent="0.3">
      <c r="B355" s="67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11"/>
      <c r="Q355" s="53"/>
      <c r="R355" s="53"/>
      <c r="S355" s="53"/>
    </row>
    <row r="356" spans="2:25" s="11" customFormat="1" x14ac:dyDescent="0.3">
      <c r="B356" s="25"/>
      <c r="C356" s="25"/>
      <c r="D356" s="25"/>
      <c r="E356" s="25"/>
      <c r="F356" s="60"/>
      <c r="G356" s="60"/>
      <c r="H356" s="25"/>
      <c r="I356" s="25"/>
      <c r="J356" s="25"/>
      <c r="K356" s="25"/>
      <c r="L356" s="25"/>
      <c r="M356" s="25"/>
      <c r="N356" s="25"/>
      <c r="O356" s="25"/>
      <c r="Q356" s="25"/>
      <c r="R356" s="25"/>
      <c r="S356" s="25"/>
      <c r="T356" s="25"/>
      <c r="U356" s="25"/>
      <c r="V356" s="25"/>
      <c r="X356" s="25"/>
    </row>
    <row r="357" spans="2:25" s="11" customFormat="1" x14ac:dyDescent="0.3"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Q357" s="62"/>
      <c r="R357" s="62"/>
      <c r="S357" s="62"/>
      <c r="T357" s="57"/>
      <c r="U357" s="57"/>
      <c r="V357" s="57"/>
      <c r="W357" s="57"/>
      <c r="X357" s="57"/>
    </row>
    <row r="358" spans="2:25" s="11" customFormat="1" x14ac:dyDescent="0.3"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Q358" s="62"/>
      <c r="R358" s="62"/>
      <c r="S358" s="62"/>
      <c r="T358" s="57"/>
      <c r="U358" s="57"/>
      <c r="V358" s="57"/>
      <c r="W358" s="57"/>
      <c r="X358" s="57"/>
    </row>
    <row r="359" spans="2:25" s="11" customFormat="1" x14ac:dyDescent="0.3"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Q359" s="62"/>
      <c r="R359" s="62"/>
      <c r="S359" s="62"/>
      <c r="T359" s="57"/>
      <c r="U359" s="57"/>
      <c r="V359" s="57"/>
      <c r="W359" s="57"/>
      <c r="X359" s="57"/>
    </row>
    <row r="360" spans="2:25" s="11" customFormat="1" x14ac:dyDescent="0.3"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Q360" s="62"/>
      <c r="R360" s="62"/>
      <c r="S360" s="62"/>
      <c r="T360" s="57"/>
      <c r="U360" s="57"/>
      <c r="V360" s="57"/>
      <c r="W360" s="57"/>
      <c r="X360" s="57"/>
    </row>
    <row r="361" spans="2:25" s="11" customFormat="1" x14ac:dyDescent="0.3"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Q361" s="69"/>
      <c r="R361" s="69"/>
      <c r="S361" s="69"/>
      <c r="T361" s="57"/>
      <c r="U361" s="57"/>
      <c r="V361" s="57"/>
      <c r="W361" s="57"/>
      <c r="X361" s="57"/>
    </row>
    <row r="362" spans="2:25" s="11" customFormat="1" x14ac:dyDescent="0.3">
      <c r="T362" s="57"/>
      <c r="U362" s="57"/>
      <c r="V362" s="57"/>
      <c r="W362" s="57"/>
      <c r="X362" s="57"/>
    </row>
    <row r="363" spans="2:25" s="11" customFormat="1" x14ac:dyDescent="0.3">
      <c r="B363" s="67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Q363" s="56"/>
      <c r="R363" s="56"/>
      <c r="S363" s="56"/>
      <c r="T363" s="57"/>
      <c r="U363" s="57"/>
      <c r="V363" s="57"/>
      <c r="W363" s="57"/>
      <c r="X363" s="57"/>
    </row>
    <row r="364" spans="2:25" s="58" customFormat="1" x14ac:dyDescent="0.3">
      <c r="B364" s="11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11"/>
      <c r="Q364" s="56"/>
      <c r="R364" s="56"/>
      <c r="S364" s="56"/>
      <c r="T364" s="57"/>
      <c r="U364" s="57"/>
      <c r="V364" s="57"/>
      <c r="W364" s="57"/>
      <c r="X364" s="57"/>
      <c r="Y364" s="11"/>
    </row>
    <row r="365" spans="2:25" s="58" customFormat="1" x14ac:dyDescent="0.3">
      <c r="B365" s="11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11"/>
      <c r="Q365" s="56"/>
      <c r="R365" s="56"/>
      <c r="S365" s="56"/>
      <c r="T365" s="57"/>
      <c r="U365" s="57"/>
      <c r="V365" s="57"/>
      <c r="W365" s="57"/>
      <c r="X365" s="57"/>
      <c r="Y365" s="11"/>
    </row>
    <row r="366" spans="2:25" s="11" customFormat="1" x14ac:dyDescent="0.3"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Q366" s="56"/>
      <c r="R366" s="56"/>
      <c r="S366" s="56"/>
      <c r="T366" s="57"/>
      <c r="U366" s="57"/>
      <c r="V366" s="57"/>
      <c r="W366" s="57"/>
      <c r="X366" s="57"/>
    </row>
    <row r="367" spans="2:25" s="11" customFormat="1" x14ac:dyDescent="0.3">
      <c r="B367" s="67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Q367" s="56"/>
      <c r="R367" s="56"/>
      <c r="S367" s="56"/>
      <c r="T367" s="58"/>
      <c r="U367" s="58"/>
      <c r="V367" s="58"/>
      <c r="W367" s="58"/>
      <c r="X367" s="58"/>
      <c r="Y367" s="58"/>
    </row>
    <row r="368" spans="2:25" s="11" customFormat="1" x14ac:dyDescent="0.3"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Q368" s="56"/>
      <c r="R368" s="56"/>
      <c r="S368" s="56"/>
      <c r="T368" s="57"/>
      <c r="U368" s="57"/>
      <c r="V368" s="57"/>
      <c r="W368" s="57"/>
      <c r="X368" s="57"/>
      <c r="Y368" s="58"/>
    </row>
    <row r="369" spans="2:27" s="11" customFormat="1" x14ac:dyDescent="0.3"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Q369" s="56"/>
      <c r="R369" s="56"/>
      <c r="S369" s="56"/>
      <c r="T369" s="57"/>
      <c r="U369" s="57"/>
      <c r="V369" s="57"/>
      <c r="W369" s="57"/>
      <c r="X369" s="57"/>
      <c r="Y369" s="58"/>
    </row>
    <row r="370" spans="2:27" s="11" customFormat="1" x14ac:dyDescent="0.3"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Q370" s="56"/>
      <c r="R370" s="56"/>
      <c r="S370" s="56"/>
      <c r="T370" s="57"/>
      <c r="U370" s="57"/>
      <c r="V370" s="57"/>
      <c r="W370" s="57"/>
      <c r="X370" s="57"/>
      <c r="Y370" s="58"/>
    </row>
    <row r="371" spans="2:27" s="11" customFormat="1" x14ac:dyDescent="0.3">
      <c r="B371" s="67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Q371" s="70"/>
      <c r="R371" s="70"/>
      <c r="S371" s="70"/>
      <c r="T371" s="58"/>
      <c r="U371" s="58"/>
      <c r="V371" s="58"/>
      <c r="W371" s="58"/>
      <c r="X371" s="58"/>
      <c r="Y371" s="58"/>
    </row>
    <row r="372" spans="2:27" s="11" customFormat="1" x14ac:dyDescent="0.3"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Q372" s="70"/>
      <c r="R372" s="70"/>
      <c r="S372" s="70"/>
      <c r="T372" s="57"/>
      <c r="U372" s="57"/>
      <c r="V372" s="57"/>
      <c r="W372" s="57"/>
      <c r="X372" s="57"/>
      <c r="Y372" s="58"/>
      <c r="Z372" s="25"/>
      <c r="AA372" s="25"/>
    </row>
    <row r="373" spans="2:27" s="11" customFormat="1" x14ac:dyDescent="0.3"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Q373" s="70"/>
      <c r="R373" s="70"/>
      <c r="S373" s="70"/>
      <c r="T373" s="57"/>
      <c r="U373" s="57"/>
      <c r="V373" s="57"/>
      <c r="W373" s="57"/>
      <c r="X373" s="57"/>
      <c r="Y373" s="58"/>
      <c r="Z373" s="24"/>
      <c r="AA373" s="26"/>
    </row>
    <row r="374" spans="2:27" s="11" customFormat="1" x14ac:dyDescent="0.3"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Q374" s="70"/>
      <c r="R374" s="70"/>
      <c r="S374" s="70"/>
      <c r="T374" s="57"/>
      <c r="U374" s="57"/>
      <c r="V374" s="57"/>
      <c r="W374" s="57"/>
      <c r="X374" s="57"/>
      <c r="Y374" s="58"/>
      <c r="Z374" s="24"/>
      <c r="AA374" s="26"/>
    </row>
    <row r="375" spans="2:27" s="11" customFormat="1" x14ac:dyDescent="0.3">
      <c r="B375" s="25"/>
      <c r="C375" s="25"/>
      <c r="D375" s="25"/>
      <c r="E375" s="25"/>
      <c r="F375" s="60"/>
      <c r="G375" s="60"/>
      <c r="H375" s="25"/>
      <c r="I375" s="25"/>
      <c r="J375" s="25"/>
      <c r="K375" s="25"/>
      <c r="L375" s="25"/>
      <c r="M375" s="25"/>
      <c r="N375" s="25"/>
      <c r="O375" s="25"/>
      <c r="Q375" s="25"/>
      <c r="R375" s="25"/>
      <c r="S375" s="25"/>
      <c r="T375" s="25"/>
      <c r="U375" s="25"/>
      <c r="V375" s="25"/>
      <c r="X375" s="25"/>
      <c r="Z375" s="24"/>
      <c r="AA375" s="26"/>
    </row>
    <row r="376" spans="2:27" s="11" customFormat="1" x14ac:dyDescent="0.3"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Q376" s="62"/>
      <c r="R376" s="62"/>
      <c r="S376" s="62"/>
      <c r="T376" s="57"/>
      <c r="U376" s="57"/>
      <c r="V376" s="57"/>
      <c r="W376" s="57"/>
      <c r="X376" s="57"/>
      <c r="Z376" s="24"/>
      <c r="AA376" s="26"/>
    </row>
    <row r="377" spans="2:27" s="11" customFormat="1" x14ac:dyDescent="0.3"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Q377" s="62"/>
      <c r="R377" s="62"/>
      <c r="S377" s="62"/>
      <c r="T377" s="57"/>
      <c r="U377" s="57"/>
      <c r="V377" s="57"/>
      <c r="W377" s="57"/>
      <c r="X377" s="57"/>
    </row>
    <row r="378" spans="2:27" s="11" customFormat="1" x14ac:dyDescent="0.3"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Q378" s="62"/>
      <c r="R378" s="62"/>
      <c r="S378" s="62"/>
      <c r="T378" s="57"/>
      <c r="U378" s="57"/>
      <c r="V378" s="57"/>
      <c r="W378" s="57"/>
      <c r="X378" s="57"/>
    </row>
    <row r="379" spans="2:27" s="11" customFormat="1" x14ac:dyDescent="0.3"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Q379" s="62"/>
      <c r="R379" s="62"/>
      <c r="S379" s="62"/>
      <c r="T379" s="57"/>
      <c r="U379" s="57"/>
      <c r="V379" s="57"/>
      <c r="W379" s="57"/>
      <c r="X379" s="57"/>
    </row>
    <row r="380" spans="2:27" s="11" customFormat="1" x14ac:dyDescent="0.3"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Q380" s="69"/>
      <c r="R380" s="69"/>
      <c r="S380" s="69"/>
    </row>
    <row r="381" spans="2:27" s="11" customFormat="1" x14ac:dyDescent="0.3">
      <c r="B381" s="25"/>
      <c r="C381" s="25"/>
      <c r="D381" s="25"/>
      <c r="E381" s="25"/>
      <c r="F381" s="60"/>
      <c r="G381" s="60"/>
      <c r="H381" s="25"/>
      <c r="I381" s="25"/>
      <c r="J381" s="25"/>
      <c r="K381" s="25"/>
      <c r="L381" s="25"/>
      <c r="M381" s="25"/>
      <c r="N381" s="25"/>
      <c r="O381" s="25"/>
      <c r="Q381" s="25"/>
      <c r="R381" s="25"/>
      <c r="S381" s="25"/>
      <c r="T381" s="25"/>
      <c r="U381" s="25"/>
      <c r="V381" s="25"/>
      <c r="X381" s="25"/>
      <c r="Y381" s="25"/>
      <c r="Z381" s="25"/>
    </row>
    <row r="382" spans="2:27" s="11" customFormat="1" x14ac:dyDescent="0.3"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Q382" s="62"/>
      <c r="R382" s="62"/>
      <c r="S382" s="62"/>
      <c r="T382" s="57"/>
      <c r="U382" s="57"/>
      <c r="V382" s="57"/>
      <c r="W382" s="57"/>
      <c r="X382" s="71"/>
      <c r="Y382" s="35"/>
      <c r="Z382" s="72"/>
    </row>
    <row r="383" spans="2:27" s="11" customFormat="1" x14ac:dyDescent="0.3"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Q383" s="62"/>
      <c r="R383" s="62"/>
      <c r="S383" s="62"/>
      <c r="T383" s="57"/>
      <c r="U383" s="57"/>
      <c r="V383" s="57"/>
      <c r="W383" s="57"/>
      <c r="X383" s="71"/>
      <c r="Y383" s="35"/>
      <c r="Z383" s="72"/>
    </row>
    <row r="384" spans="2:27" s="11" customFormat="1" x14ac:dyDescent="0.3"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Q384" s="62"/>
      <c r="R384" s="62"/>
      <c r="S384" s="62"/>
      <c r="T384" s="57"/>
      <c r="U384" s="57"/>
      <c r="V384" s="57"/>
      <c r="W384" s="57"/>
      <c r="X384" s="71"/>
      <c r="Y384" s="35"/>
      <c r="Z384" s="72"/>
    </row>
    <row r="385" spans="2:26" s="11" customFormat="1" x14ac:dyDescent="0.3"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Q385" s="62"/>
      <c r="R385" s="62"/>
      <c r="S385" s="62"/>
      <c r="T385" s="57"/>
      <c r="U385" s="57"/>
      <c r="V385" s="57"/>
      <c r="W385" s="57"/>
      <c r="X385" s="71"/>
      <c r="Y385" s="35"/>
      <c r="Z385" s="72"/>
    </row>
    <row r="386" spans="2:26" s="11" customFormat="1" x14ac:dyDescent="0.3"/>
    <row r="387" spans="2:26" s="11" customFormat="1" x14ac:dyDescent="0.3"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Q387" s="29"/>
      <c r="R387" s="29"/>
      <c r="S387" s="29"/>
      <c r="T387" s="28"/>
      <c r="U387" s="28"/>
      <c r="V387" s="28"/>
      <c r="X387" s="27"/>
    </row>
    <row r="388" spans="2:26" s="11" customFormat="1" x14ac:dyDescent="0.3"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Q388" s="29"/>
      <c r="R388" s="29"/>
      <c r="S388" s="29"/>
      <c r="T388" s="28"/>
      <c r="U388" s="28"/>
      <c r="V388" s="28"/>
      <c r="X388" s="27"/>
    </row>
    <row r="389" spans="2:26" s="11" customFormat="1" x14ac:dyDescent="0.3"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Q389" s="29"/>
      <c r="R389" s="29"/>
      <c r="S389" s="29"/>
      <c r="T389" s="28"/>
      <c r="U389" s="28"/>
      <c r="V389" s="28"/>
      <c r="X389" s="27"/>
    </row>
    <row r="390" spans="2:26" s="11" customFormat="1" x14ac:dyDescent="0.3"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Q390" s="29"/>
      <c r="R390" s="29"/>
      <c r="S390" s="29"/>
      <c r="T390" s="28"/>
      <c r="U390" s="28"/>
      <c r="V390" s="28"/>
      <c r="X390" s="27"/>
    </row>
    <row r="391" spans="2:26" s="11" customFormat="1" x14ac:dyDescent="0.3"/>
    <row r="392" spans="2:26" s="11" customFormat="1" x14ac:dyDescent="0.3">
      <c r="B392" s="34"/>
      <c r="C392" s="25"/>
      <c r="D392" s="25"/>
      <c r="E392" s="25"/>
      <c r="F392" s="60"/>
      <c r="G392" s="60"/>
      <c r="H392" s="25"/>
      <c r="I392" s="25"/>
      <c r="J392" s="25"/>
      <c r="K392" s="25"/>
      <c r="L392" s="25"/>
      <c r="M392" s="25"/>
      <c r="N392" s="25"/>
      <c r="O392" s="25"/>
      <c r="Q392" s="25"/>
      <c r="R392" s="25"/>
      <c r="S392" s="25"/>
      <c r="T392" s="25"/>
      <c r="U392" s="25"/>
      <c r="V392" s="25"/>
      <c r="X392" s="54"/>
    </row>
    <row r="393" spans="2:26" s="11" customFormat="1" x14ac:dyDescent="0.3"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Q393" s="53"/>
      <c r="R393" s="53"/>
      <c r="S393" s="53"/>
      <c r="X393" s="54"/>
    </row>
    <row r="394" spans="2:26" s="11" customFormat="1" x14ac:dyDescent="0.3"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Q394" s="53"/>
      <c r="R394" s="53"/>
      <c r="S394" s="53"/>
      <c r="X394" s="54"/>
    </row>
    <row r="395" spans="2:26" s="11" customFormat="1" x14ac:dyDescent="0.3"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Q395" s="53"/>
      <c r="R395" s="53"/>
      <c r="S395" s="53"/>
      <c r="X395" s="54"/>
    </row>
    <row r="396" spans="2:26" s="11" customFormat="1" x14ac:dyDescent="0.3"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Q396" s="53"/>
      <c r="R396" s="53"/>
      <c r="S396" s="53"/>
      <c r="X396" s="54"/>
    </row>
    <row r="397" spans="2:26" s="11" customFormat="1" x14ac:dyDescent="0.3">
      <c r="B397" s="34"/>
    </row>
    <row r="398" spans="2:26" s="11" customFormat="1" x14ac:dyDescent="0.3">
      <c r="B398" s="34"/>
      <c r="X398" s="54"/>
    </row>
    <row r="399" spans="2:26" s="11" customFormat="1" x14ac:dyDescent="0.3"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Q399" s="53"/>
      <c r="R399" s="53"/>
      <c r="S399" s="53"/>
      <c r="X399" s="54"/>
    </row>
    <row r="400" spans="2:26" s="11" customFormat="1" x14ac:dyDescent="0.3"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Q400" s="53"/>
      <c r="R400" s="53"/>
      <c r="S400" s="53"/>
      <c r="X400" s="54"/>
    </row>
    <row r="401" spans="2:26" s="11" customFormat="1" x14ac:dyDescent="0.3"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Q401" s="53"/>
      <c r="R401" s="53"/>
      <c r="S401" s="53"/>
      <c r="X401" s="54"/>
    </row>
    <row r="402" spans="2:26" s="11" customFormat="1" x14ac:dyDescent="0.3"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Q402" s="53"/>
      <c r="R402" s="53"/>
      <c r="S402" s="53"/>
      <c r="X402" s="54"/>
    </row>
    <row r="403" spans="2:26" s="11" customFormat="1" x14ac:dyDescent="0.3">
      <c r="B403" s="34"/>
    </row>
    <row r="404" spans="2:26" s="11" customFormat="1" x14ac:dyDescent="0.3">
      <c r="B404" s="34"/>
      <c r="Y404" s="70"/>
      <c r="Z404" s="61"/>
    </row>
    <row r="405" spans="2:26" s="11" customFormat="1" x14ac:dyDescent="0.3"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Q405" s="53"/>
      <c r="R405" s="53"/>
      <c r="S405" s="53"/>
      <c r="X405" s="73"/>
      <c r="Y405" s="54"/>
      <c r="Z405" s="54"/>
    </row>
    <row r="406" spans="2:26" s="11" customFormat="1" x14ac:dyDescent="0.3"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Q406" s="53"/>
      <c r="R406" s="53"/>
      <c r="S406" s="53"/>
      <c r="X406" s="73"/>
      <c r="Y406" s="54"/>
      <c r="Z406" s="54"/>
    </row>
    <row r="407" spans="2:26" s="11" customFormat="1" x14ac:dyDescent="0.3"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Q407" s="53"/>
      <c r="R407" s="53"/>
      <c r="S407" s="53"/>
      <c r="X407" s="73"/>
      <c r="Y407" s="54"/>
      <c r="Z407" s="54"/>
    </row>
    <row r="408" spans="2:26" s="11" customFormat="1" x14ac:dyDescent="0.3"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Q408" s="53"/>
      <c r="R408" s="53"/>
      <c r="S408" s="53"/>
      <c r="X408" s="73"/>
      <c r="Y408" s="54"/>
      <c r="Z408" s="54"/>
    </row>
    <row r="409" spans="2:26" s="11" customFormat="1" x14ac:dyDescent="0.3"/>
    <row r="410" spans="2:26" s="11" customFormat="1" x14ac:dyDescent="0.3"/>
    <row r="411" spans="2:26" s="11" customFormat="1" x14ac:dyDescent="0.3"/>
    <row r="412" spans="2:26" s="11" customFormat="1" x14ac:dyDescent="0.3"/>
    <row r="413" spans="2:26" s="11" customFormat="1" x14ac:dyDescent="0.3"/>
    <row r="414" spans="2:26" s="11" customFormat="1" x14ac:dyDescent="0.3"/>
    <row r="415" spans="2:26" s="11" customFormat="1" x14ac:dyDescent="0.3"/>
    <row r="416" spans="2:26" s="11" customFormat="1" x14ac:dyDescent="0.3"/>
    <row r="417" s="11" customFormat="1" x14ac:dyDescent="0.3"/>
    <row r="418" s="11" customFormat="1" x14ac:dyDescent="0.3"/>
    <row r="419" s="11" customFormat="1" x14ac:dyDescent="0.3"/>
    <row r="420" s="11" customFormat="1" x14ac:dyDescent="0.3"/>
    <row r="421" s="11" customFormat="1" x14ac:dyDescent="0.3"/>
    <row r="422" s="11" customFormat="1" x14ac:dyDescent="0.3"/>
    <row r="423" s="11" customFormat="1" x14ac:dyDescent="0.3"/>
    <row r="424" s="11" customFormat="1" x14ac:dyDescent="0.3"/>
    <row r="425" s="11" customFormat="1" x14ac:dyDescent="0.3"/>
    <row r="426" s="11" customFormat="1" x14ac:dyDescent="0.3"/>
    <row r="427" s="11" customFormat="1" x14ac:dyDescent="0.3"/>
    <row r="428" s="11" customFormat="1" x14ac:dyDescent="0.3"/>
    <row r="429" s="11" customFormat="1" x14ac:dyDescent="0.3"/>
    <row r="430" s="11" customFormat="1" x14ac:dyDescent="0.3"/>
    <row r="431" s="11" customFormat="1" x14ac:dyDescent="0.3"/>
    <row r="432" s="11" customFormat="1" x14ac:dyDescent="0.3"/>
    <row r="433" s="11" customFormat="1" x14ac:dyDescent="0.3"/>
    <row r="434" s="11" customFormat="1" x14ac:dyDescent="0.3"/>
    <row r="435" s="11" customFormat="1" x14ac:dyDescent="0.3"/>
    <row r="436" s="11" customFormat="1" x14ac:dyDescent="0.3"/>
    <row r="437" s="11" customFormat="1" x14ac:dyDescent="0.3"/>
    <row r="438" s="11" customFormat="1" x14ac:dyDescent="0.3"/>
    <row r="439" s="11" customFormat="1" x14ac:dyDescent="0.3"/>
    <row r="440" s="11" customFormat="1" x14ac:dyDescent="0.3"/>
    <row r="441" s="11" customFormat="1" x14ac:dyDescent="0.3"/>
    <row r="442" s="11" customFormat="1" x14ac:dyDescent="0.3"/>
    <row r="443" s="11" customFormat="1" x14ac:dyDescent="0.3"/>
    <row r="444" s="11" customFormat="1" x14ac:dyDescent="0.3"/>
    <row r="445" s="11" customFormat="1" x14ac:dyDescent="0.3"/>
    <row r="446" s="11" customFormat="1" x14ac:dyDescent="0.3"/>
    <row r="447" s="11" customFormat="1" x14ac:dyDescent="0.3"/>
    <row r="448" s="11" customFormat="1" x14ac:dyDescent="0.3"/>
    <row r="449" s="11" customFormat="1" x14ac:dyDescent="0.3"/>
    <row r="450" s="11" customFormat="1" x14ac:dyDescent="0.3"/>
    <row r="451" s="11" customFormat="1" x14ac:dyDescent="0.3"/>
    <row r="452" s="11" customFormat="1" x14ac:dyDescent="0.3"/>
    <row r="453" s="11" customFormat="1" x14ac:dyDescent="0.3"/>
    <row r="454" s="11" customFormat="1" x14ac:dyDescent="0.3"/>
    <row r="455" s="11" customFormat="1" x14ac:dyDescent="0.3"/>
    <row r="456" s="11" customFormat="1" x14ac:dyDescent="0.3"/>
    <row r="457" s="11" customFormat="1" x14ac:dyDescent="0.3"/>
    <row r="458" s="11" customFormat="1" x14ac:dyDescent="0.3"/>
    <row r="459" s="11" customFormat="1" x14ac:dyDescent="0.3"/>
    <row r="460" s="11" customFormat="1" x14ac:dyDescent="0.3"/>
    <row r="461" s="11" customFormat="1" x14ac:dyDescent="0.3"/>
    <row r="462" s="11" customFormat="1" x14ac:dyDescent="0.3"/>
    <row r="463" s="11" customFormat="1" x14ac:dyDescent="0.3"/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224"/>
  <sheetViews>
    <sheetView topLeftCell="A109" zoomScale="70" zoomScaleNormal="70" workbookViewId="0">
      <selection activeCell="P123" sqref="P123"/>
    </sheetView>
  </sheetViews>
  <sheetFormatPr defaultColWidth="9.109375" defaultRowHeight="14.4" x14ac:dyDescent="0.3"/>
  <cols>
    <col min="1" max="1" width="5.44140625" style="3" customWidth="1"/>
    <col min="2" max="2" width="8.44140625" style="3" customWidth="1"/>
    <col min="3" max="3" width="30.88671875" style="3" bestFit="1" customWidth="1"/>
    <col min="4" max="4" width="11" style="3" customWidth="1"/>
    <col min="5" max="5" width="8.88671875" style="3" customWidth="1"/>
    <col min="6" max="6" width="11" style="3" customWidth="1"/>
    <col min="7" max="7" width="14" style="3" customWidth="1"/>
    <col min="8" max="8" width="9.109375" style="3"/>
    <col min="9" max="36" width="7.88671875" style="3" customWidth="1"/>
    <col min="37" max="37" width="2.33203125" style="3" customWidth="1"/>
    <col min="38" max="16384" width="9.109375" style="3"/>
  </cols>
  <sheetData>
    <row r="2" spans="2:38" s="9" customFormat="1" ht="21" x14ac:dyDescent="0.35">
      <c r="B2" s="10" t="s">
        <v>128</v>
      </c>
      <c r="AA2" s="86"/>
    </row>
    <row r="4" spans="2:38" ht="30" x14ac:dyDescent="0.25">
      <c r="C4" s="3" t="s">
        <v>111</v>
      </c>
      <c r="D4" s="41" t="s">
        <v>100</v>
      </c>
      <c r="E4" s="41" t="s">
        <v>101</v>
      </c>
      <c r="F4" s="43" t="s">
        <v>102</v>
      </c>
      <c r="G4" s="41" t="s">
        <v>103</v>
      </c>
      <c r="H4" s="41" t="s">
        <v>104</v>
      </c>
      <c r="I4" s="41">
        <v>2037</v>
      </c>
      <c r="J4" s="41">
        <v>2039</v>
      </c>
      <c r="K4" s="41">
        <v>2041</v>
      </c>
      <c r="L4" s="41">
        <v>2044</v>
      </c>
      <c r="M4" s="41">
        <v>2045</v>
      </c>
      <c r="N4" s="41">
        <v>2046</v>
      </c>
      <c r="O4" s="41">
        <v>2047</v>
      </c>
      <c r="P4" s="41">
        <v>2048</v>
      </c>
      <c r="Q4" s="41">
        <v>2049</v>
      </c>
      <c r="R4" s="41">
        <v>2050</v>
      </c>
      <c r="S4" s="41">
        <f>R4+1</f>
        <v>2051</v>
      </c>
      <c r="T4" s="41">
        <f t="shared" ref="T4:AB4" si="0">S4+1</f>
        <v>2052</v>
      </c>
      <c r="U4" s="41">
        <f t="shared" si="0"/>
        <v>2053</v>
      </c>
      <c r="V4" s="41">
        <f t="shared" si="0"/>
        <v>2054</v>
      </c>
      <c r="W4" s="41">
        <f t="shared" si="0"/>
        <v>2055</v>
      </c>
      <c r="X4" s="41">
        <f t="shared" si="0"/>
        <v>2056</v>
      </c>
      <c r="Y4" s="41">
        <f t="shared" si="0"/>
        <v>2057</v>
      </c>
      <c r="Z4" s="41">
        <f t="shared" si="0"/>
        <v>2058</v>
      </c>
      <c r="AA4" s="41">
        <f t="shared" si="0"/>
        <v>2059</v>
      </c>
      <c r="AB4" s="41">
        <f t="shared" si="0"/>
        <v>2060</v>
      </c>
      <c r="AC4" s="41"/>
      <c r="AD4" s="41"/>
      <c r="AE4" s="41"/>
      <c r="AF4" s="41"/>
      <c r="AG4" s="41"/>
      <c r="AH4" s="41"/>
      <c r="AI4" s="41"/>
      <c r="AJ4" s="41"/>
      <c r="AL4" s="43" t="s">
        <v>112</v>
      </c>
    </row>
    <row r="5" spans="2:38" s="41" customFormat="1" ht="15" x14ac:dyDescent="0.25">
      <c r="I5" s="41" t="s">
        <v>105</v>
      </c>
      <c r="AL5" s="41" t="s">
        <v>113</v>
      </c>
    </row>
    <row r="6" spans="2:38" ht="15" x14ac:dyDescent="0.25">
      <c r="C6" s="3" t="s">
        <v>106</v>
      </c>
      <c r="D6" s="3">
        <v>2016</v>
      </c>
      <c r="E6" s="3">
        <f>G6+E5</f>
        <v>0</v>
      </c>
      <c r="F6" s="39">
        <v>0</v>
      </c>
      <c r="G6" s="4">
        <v>0</v>
      </c>
      <c r="H6" s="3">
        <f>G6*1359</f>
        <v>0</v>
      </c>
      <c r="AL6" s="39">
        <f>SUM(I6:AB6)/1000</f>
        <v>0</v>
      </c>
    </row>
    <row r="7" spans="2:38" ht="15" x14ac:dyDescent="0.25">
      <c r="C7" s="3" t="s">
        <v>106</v>
      </c>
      <c r="D7" s="3">
        <v>2017</v>
      </c>
      <c r="E7" s="3">
        <f t="shared" ref="E7:E40" si="1">G7+E6</f>
        <v>0</v>
      </c>
      <c r="F7" s="39">
        <f t="shared" ref="F7:F30" si="2">E7*1359</f>
        <v>0</v>
      </c>
      <c r="G7" s="4">
        <v>0</v>
      </c>
      <c r="H7" s="3">
        <f t="shared" ref="H7:H40" si="3">G7*1359</f>
        <v>0</v>
      </c>
      <c r="AL7" s="39">
        <f t="shared" ref="AL7:AL40" si="4">SUM(I7:AB7)/1000</f>
        <v>0</v>
      </c>
    </row>
    <row r="8" spans="2:38" ht="15" x14ac:dyDescent="0.25">
      <c r="C8" s="3" t="s">
        <v>106</v>
      </c>
      <c r="D8" s="3">
        <v>2018</v>
      </c>
      <c r="E8" s="3">
        <f t="shared" si="1"/>
        <v>0</v>
      </c>
      <c r="F8" s="39">
        <f t="shared" si="2"/>
        <v>0</v>
      </c>
      <c r="G8" s="4">
        <v>0</v>
      </c>
      <c r="H8" s="3">
        <f t="shared" si="3"/>
        <v>0</v>
      </c>
      <c r="AL8" s="39">
        <f t="shared" si="4"/>
        <v>0</v>
      </c>
    </row>
    <row r="9" spans="2:38" ht="15" x14ac:dyDescent="0.25">
      <c r="C9" s="3" t="s">
        <v>106</v>
      </c>
      <c r="D9" s="3">
        <v>2019</v>
      </c>
      <c r="E9" s="3">
        <f t="shared" si="1"/>
        <v>0</v>
      </c>
      <c r="F9" s="39">
        <f t="shared" si="2"/>
        <v>0</v>
      </c>
      <c r="G9" s="4">
        <v>0</v>
      </c>
      <c r="H9" s="3">
        <f t="shared" si="3"/>
        <v>0</v>
      </c>
      <c r="J9" s="39"/>
      <c r="AL9" s="39">
        <f t="shared" si="4"/>
        <v>0</v>
      </c>
    </row>
    <row r="10" spans="2:38" ht="15" x14ac:dyDescent="0.25">
      <c r="C10" s="3" t="s">
        <v>106</v>
      </c>
      <c r="D10" s="3">
        <v>2020</v>
      </c>
      <c r="E10" s="3">
        <f t="shared" si="1"/>
        <v>0</v>
      </c>
      <c r="F10" s="39">
        <f t="shared" si="2"/>
        <v>0</v>
      </c>
      <c r="G10" s="4">
        <v>0</v>
      </c>
      <c r="H10" s="3">
        <f t="shared" si="3"/>
        <v>0</v>
      </c>
      <c r="J10" s="39"/>
      <c r="AL10" s="39">
        <f t="shared" si="4"/>
        <v>0</v>
      </c>
    </row>
    <row r="11" spans="2:38" ht="15" x14ac:dyDescent="0.25">
      <c r="C11" s="3" t="s">
        <v>106</v>
      </c>
      <c r="D11" s="3">
        <v>2021</v>
      </c>
      <c r="E11" s="3">
        <f t="shared" si="1"/>
        <v>0</v>
      </c>
      <c r="F11" s="39">
        <f t="shared" si="2"/>
        <v>0</v>
      </c>
      <c r="G11" s="4">
        <v>0</v>
      </c>
      <c r="H11" s="3">
        <f t="shared" si="3"/>
        <v>0</v>
      </c>
      <c r="J11" s="39"/>
      <c r="AL11" s="39">
        <f t="shared" si="4"/>
        <v>0</v>
      </c>
    </row>
    <row r="12" spans="2:38" ht="15" x14ac:dyDescent="0.25">
      <c r="C12" s="3" t="s">
        <v>106</v>
      </c>
      <c r="D12" s="3">
        <v>2022</v>
      </c>
      <c r="E12" s="3">
        <f t="shared" si="1"/>
        <v>0</v>
      </c>
      <c r="F12" s="39">
        <f t="shared" si="2"/>
        <v>0</v>
      </c>
      <c r="G12" s="4">
        <v>0</v>
      </c>
      <c r="H12" s="3">
        <f t="shared" si="3"/>
        <v>0</v>
      </c>
      <c r="J12" s="39"/>
      <c r="AL12" s="39">
        <f t="shared" si="4"/>
        <v>0</v>
      </c>
    </row>
    <row r="13" spans="2:38" ht="15" x14ac:dyDescent="0.25">
      <c r="C13" s="3" t="s">
        <v>106</v>
      </c>
      <c r="D13" s="3">
        <v>2023</v>
      </c>
      <c r="E13" s="3">
        <f t="shared" si="1"/>
        <v>0</v>
      </c>
      <c r="F13" s="39">
        <f t="shared" si="2"/>
        <v>0</v>
      </c>
      <c r="G13" s="4">
        <v>0</v>
      </c>
      <c r="H13" s="3">
        <f t="shared" si="3"/>
        <v>0</v>
      </c>
      <c r="J13" s="39"/>
      <c r="K13" s="39"/>
      <c r="AL13" s="39">
        <f t="shared" si="4"/>
        <v>0</v>
      </c>
    </row>
    <row r="14" spans="2:38" ht="15" x14ac:dyDescent="0.25">
      <c r="C14" s="3" t="s">
        <v>106</v>
      </c>
      <c r="D14" s="3">
        <v>2024</v>
      </c>
      <c r="E14" s="3">
        <f t="shared" si="1"/>
        <v>0</v>
      </c>
      <c r="F14" s="39">
        <f t="shared" si="2"/>
        <v>0</v>
      </c>
      <c r="G14" s="4">
        <v>0</v>
      </c>
      <c r="H14" s="3">
        <f t="shared" si="3"/>
        <v>0</v>
      </c>
      <c r="J14" s="39"/>
      <c r="K14" s="39"/>
      <c r="L14" s="39"/>
      <c r="AL14" s="39">
        <f t="shared" si="4"/>
        <v>0</v>
      </c>
    </row>
    <row r="15" spans="2:38" ht="15" x14ac:dyDescent="0.25">
      <c r="C15" s="3" t="s">
        <v>106</v>
      </c>
      <c r="D15" s="3">
        <v>2025</v>
      </c>
      <c r="E15" s="3">
        <f t="shared" si="1"/>
        <v>0</v>
      </c>
      <c r="F15" s="39">
        <f t="shared" si="2"/>
        <v>0</v>
      </c>
      <c r="G15" s="4">
        <v>0</v>
      </c>
      <c r="H15" s="3">
        <f t="shared" si="3"/>
        <v>0</v>
      </c>
      <c r="J15" s="39"/>
      <c r="K15" s="39"/>
      <c r="L15" s="39"/>
      <c r="AL15" s="39">
        <f t="shared" si="4"/>
        <v>0</v>
      </c>
    </row>
    <row r="16" spans="2:38" ht="15" x14ac:dyDescent="0.25">
      <c r="C16" s="3" t="s">
        <v>106</v>
      </c>
      <c r="D16" s="3">
        <v>2026</v>
      </c>
      <c r="E16" s="3">
        <f t="shared" si="1"/>
        <v>0</v>
      </c>
      <c r="F16" s="39">
        <f t="shared" si="2"/>
        <v>0</v>
      </c>
      <c r="G16" s="4">
        <v>0</v>
      </c>
      <c r="H16" s="3">
        <f t="shared" si="3"/>
        <v>0</v>
      </c>
      <c r="J16" s="39"/>
      <c r="K16" s="39"/>
      <c r="L16" s="39"/>
      <c r="M16" s="39"/>
      <c r="AL16" s="39">
        <f t="shared" si="4"/>
        <v>0</v>
      </c>
    </row>
    <row r="17" spans="3:38" ht="15" x14ac:dyDescent="0.25">
      <c r="C17" s="3" t="s">
        <v>106</v>
      </c>
      <c r="D17" s="3">
        <v>2027</v>
      </c>
      <c r="E17" s="3">
        <f t="shared" si="1"/>
        <v>0</v>
      </c>
      <c r="F17" s="39">
        <f t="shared" si="2"/>
        <v>0</v>
      </c>
      <c r="G17" s="4">
        <v>0</v>
      </c>
      <c r="H17" s="3">
        <f t="shared" si="3"/>
        <v>0</v>
      </c>
      <c r="J17" s="39"/>
      <c r="K17" s="39"/>
      <c r="L17" s="39"/>
      <c r="M17" s="39"/>
      <c r="N17" s="39"/>
      <c r="AL17" s="39">
        <f t="shared" si="4"/>
        <v>0</v>
      </c>
    </row>
    <row r="18" spans="3:38" ht="15" x14ac:dyDescent="0.25">
      <c r="C18" s="3" t="s">
        <v>106</v>
      </c>
      <c r="D18" s="3">
        <v>2028</v>
      </c>
      <c r="E18" s="3">
        <f t="shared" si="1"/>
        <v>0</v>
      </c>
      <c r="F18" s="39">
        <f t="shared" si="2"/>
        <v>0</v>
      </c>
      <c r="G18" s="4">
        <v>0</v>
      </c>
      <c r="H18" s="3">
        <f t="shared" si="3"/>
        <v>0</v>
      </c>
      <c r="J18" s="39"/>
      <c r="K18" s="39"/>
      <c r="L18" s="39"/>
      <c r="M18" s="39"/>
      <c r="N18" s="39"/>
      <c r="AL18" s="39">
        <f t="shared" si="4"/>
        <v>0</v>
      </c>
    </row>
    <row r="19" spans="3:38" ht="15" x14ac:dyDescent="0.25">
      <c r="C19" s="3" t="s">
        <v>106</v>
      </c>
      <c r="D19" s="3">
        <v>2029</v>
      </c>
      <c r="E19" s="3">
        <f t="shared" si="1"/>
        <v>0</v>
      </c>
      <c r="F19" s="39">
        <f t="shared" si="2"/>
        <v>0</v>
      </c>
      <c r="G19" s="4">
        <v>0</v>
      </c>
      <c r="H19" s="3">
        <f t="shared" si="3"/>
        <v>0</v>
      </c>
      <c r="J19" s="39"/>
      <c r="K19" s="39"/>
      <c r="L19" s="39"/>
      <c r="M19" s="39"/>
      <c r="N19" s="39"/>
      <c r="O19" s="39"/>
      <c r="AL19" s="39">
        <f t="shared" si="4"/>
        <v>0</v>
      </c>
    </row>
    <row r="20" spans="3:38" ht="15" x14ac:dyDescent="0.25">
      <c r="C20" s="3" t="s">
        <v>106</v>
      </c>
      <c r="D20" s="3">
        <v>2030</v>
      </c>
      <c r="E20" s="3">
        <f t="shared" si="1"/>
        <v>0</v>
      </c>
      <c r="F20" s="39">
        <f t="shared" si="2"/>
        <v>0</v>
      </c>
      <c r="G20" s="4">
        <v>0</v>
      </c>
      <c r="H20" s="3">
        <f t="shared" si="3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>
        <f t="shared" si="4"/>
        <v>0</v>
      </c>
    </row>
    <row r="21" spans="3:38" ht="15" x14ac:dyDescent="0.25">
      <c r="C21" s="3" t="s">
        <v>106</v>
      </c>
      <c r="D21" s="3">
        <v>2031</v>
      </c>
      <c r="E21" s="3">
        <f t="shared" si="1"/>
        <v>0</v>
      </c>
      <c r="F21" s="39">
        <f t="shared" si="2"/>
        <v>0</v>
      </c>
      <c r="G21" s="4">
        <v>0</v>
      </c>
      <c r="H21" s="3">
        <f t="shared" si="3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>
        <f t="shared" si="4"/>
        <v>0</v>
      </c>
    </row>
    <row r="22" spans="3:38" ht="15" x14ac:dyDescent="0.25">
      <c r="C22" s="3" t="s">
        <v>106</v>
      </c>
      <c r="D22" s="3">
        <v>2032</v>
      </c>
      <c r="E22" s="3">
        <f t="shared" si="1"/>
        <v>0</v>
      </c>
      <c r="F22" s="39">
        <f t="shared" si="2"/>
        <v>0</v>
      </c>
      <c r="G22" s="4">
        <v>0</v>
      </c>
      <c r="H22" s="3">
        <f t="shared" si="3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>
        <f t="shared" si="4"/>
        <v>0</v>
      </c>
    </row>
    <row r="23" spans="3:38" ht="15" x14ac:dyDescent="0.25">
      <c r="C23" s="3" t="s">
        <v>106</v>
      </c>
      <c r="D23" s="3">
        <v>2033</v>
      </c>
      <c r="E23" s="3">
        <f t="shared" si="1"/>
        <v>0</v>
      </c>
      <c r="F23" s="39">
        <f t="shared" si="2"/>
        <v>0</v>
      </c>
      <c r="G23" s="4">
        <v>0</v>
      </c>
      <c r="H23" s="3">
        <f t="shared" si="3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>
        <f t="shared" si="4"/>
        <v>0</v>
      </c>
    </row>
    <row r="24" spans="3:38" ht="15" x14ac:dyDescent="0.25">
      <c r="C24" s="3" t="s">
        <v>106</v>
      </c>
      <c r="D24" s="3">
        <v>2034</v>
      </c>
      <c r="E24" s="3">
        <f t="shared" si="1"/>
        <v>0</v>
      </c>
      <c r="F24" s="39">
        <f t="shared" si="2"/>
        <v>0</v>
      </c>
      <c r="G24" s="4">
        <v>0</v>
      </c>
      <c r="H24" s="3">
        <f t="shared" si="3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>
        <f t="shared" si="4"/>
        <v>0</v>
      </c>
    </row>
    <row r="25" spans="3:38" ht="15" x14ac:dyDescent="0.25">
      <c r="C25" s="3" t="s">
        <v>106</v>
      </c>
      <c r="D25" s="3">
        <v>2035</v>
      </c>
      <c r="E25" s="3">
        <f t="shared" si="1"/>
        <v>0</v>
      </c>
      <c r="F25" s="39">
        <f t="shared" si="2"/>
        <v>0</v>
      </c>
      <c r="G25" s="4">
        <v>0</v>
      </c>
      <c r="H25" s="3">
        <f t="shared" si="3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>
        <f t="shared" si="4"/>
        <v>0</v>
      </c>
    </row>
    <row r="26" spans="3:38" ht="15" x14ac:dyDescent="0.25">
      <c r="C26" s="3" t="s">
        <v>106</v>
      </c>
      <c r="D26" s="3">
        <v>2036</v>
      </c>
      <c r="E26" s="3">
        <f t="shared" si="1"/>
        <v>0</v>
      </c>
      <c r="F26" s="39">
        <f t="shared" si="2"/>
        <v>0</v>
      </c>
      <c r="G26" s="4">
        <v>0</v>
      </c>
      <c r="H26" s="3">
        <f t="shared" si="3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>
        <f t="shared" si="4"/>
        <v>0</v>
      </c>
    </row>
    <row r="27" spans="3:38" ht="15" x14ac:dyDescent="0.25">
      <c r="C27" s="3" t="s">
        <v>106</v>
      </c>
      <c r="D27" s="3">
        <v>2037</v>
      </c>
      <c r="E27" s="3">
        <f t="shared" si="1"/>
        <v>1</v>
      </c>
      <c r="F27" s="39">
        <f t="shared" si="2"/>
        <v>1359</v>
      </c>
      <c r="G27" s="4">
        <v>1</v>
      </c>
      <c r="H27" s="3">
        <f t="shared" si="3"/>
        <v>1359</v>
      </c>
      <c r="I27" s="39">
        <f>$I53*$H$27/1000</f>
        <v>8535.3686127014898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>
        <f t="shared" si="4"/>
        <v>8.5353686127014896</v>
      </c>
    </row>
    <row r="28" spans="3:38" ht="15" x14ac:dyDescent="0.25">
      <c r="C28" s="3" t="s">
        <v>106</v>
      </c>
      <c r="D28" s="3">
        <v>2038</v>
      </c>
      <c r="E28" s="3">
        <f t="shared" si="1"/>
        <v>1</v>
      </c>
      <c r="F28" s="39">
        <f t="shared" si="2"/>
        <v>1359</v>
      </c>
      <c r="G28" s="4">
        <v>0</v>
      </c>
      <c r="H28" s="3">
        <f t="shared" si="3"/>
        <v>0</v>
      </c>
      <c r="I28" s="39">
        <f t="shared" ref="I28:I40" si="5">$I54*$H$27/1000</f>
        <v>8535.3686127014898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>
        <f t="shared" si="4"/>
        <v>8.5353686127014896</v>
      </c>
    </row>
    <row r="29" spans="3:38" ht="15" x14ac:dyDescent="0.25">
      <c r="C29" s="3" t="s">
        <v>106</v>
      </c>
      <c r="D29" s="3">
        <v>2039</v>
      </c>
      <c r="E29" s="3">
        <f t="shared" si="1"/>
        <v>2</v>
      </c>
      <c r="F29" s="39">
        <f t="shared" si="2"/>
        <v>2718</v>
      </c>
      <c r="G29" s="4">
        <v>1</v>
      </c>
      <c r="H29" s="3">
        <f t="shared" si="3"/>
        <v>1359</v>
      </c>
      <c r="I29" s="39">
        <f t="shared" si="5"/>
        <v>8535.3686127014898</v>
      </c>
      <c r="J29" s="39">
        <f>$I53*$H$29/1000</f>
        <v>8535.3686127014898</v>
      </c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>
        <f t="shared" si="4"/>
        <v>17.070737225402979</v>
      </c>
    </row>
    <row r="30" spans="3:38" ht="15" x14ac:dyDescent="0.25">
      <c r="C30" s="3" t="s">
        <v>106</v>
      </c>
      <c r="D30" s="3">
        <v>2040</v>
      </c>
      <c r="E30" s="3">
        <f t="shared" si="1"/>
        <v>2</v>
      </c>
      <c r="F30" s="39">
        <f t="shared" si="2"/>
        <v>2718</v>
      </c>
      <c r="G30" s="4">
        <v>0</v>
      </c>
      <c r="H30" s="3">
        <f t="shared" si="3"/>
        <v>0</v>
      </c>
      <c r="I30" s="39">
        <f t="shared" si="5"/>
        <v>8535.3686127014898</v>
      </c>
      <c r="J30" s="39">
        <f t="shared" ref="J30:J40" si="6">$I54*$H$29/1000</f>
        <v>8535.3686127014898</v>
      </c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>
        <f t="shared" si="4"/>
        <v>17.070737225402979</v>
      </c>
    </row>
    <row r="31" spans="3:38" ht="15" x14ac:dyDescent="0.25">
      <c r="C31" s="3" t="s">
        <v>106</v>
      </c>
      <c r="D31" s="3">
        <v>2041</v>
      </c>
      <c r="E31" s="3">
        <f t="shared" si="1"/>
        <v>5</v>
      </c>
      <c r="F31" s="39">
        <f>E31*1359</f>
        <v>6795</v>
      </c>
      <c r="G31" s="4">
        <v>3</v>
      </c>
      <c r="H31" s="3">
        <f t="shared" si="3"/>
        <v>4077</v>
      </c>
      <c r="I31" s="39">
        <f t="shared" si="5"/>
        <v>8535.3686127014898</v>
      </c>
      <c r="J31" s="39">
        <f t="shared" si="6"/>
        <v>8535.3686127014898</v>
      </c>
      <c r="K31" s="39">
        <f>$I53*$H$31/1000</f>
        <v>25606.105838104468</v>
      </c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>
        <f t="shared" si="4"/>
        <v>42.676843063507448</v>
      </c>
    </row>
    <row r="32" spans="3:38" ht="15" x14ac:dyDescent="0.25">
      <c r="C32" s="3" t="s">
        <v>106</v>
      </c>
      <c r="D32" s="3">
        <v>2042</v>
      </c>
      <c r="E32" s="3">
        <f t="shared" si="1"/>
        <v>5</v>
      </c>
      <c r="F32" s="39">
        <f t="shared" ref="F32:F40" si="7">E32*1359</f>
        <v>6795</v>
      </c>
      <c r="G32" s="4">
        <v>0</v>
      </c>
      <c r="H32" s="3">
        <f t="shared" si="3"/>
        <v>0</v>
      </c>
      <c r="I32" s="39">
        <f t="shared" si="5"/>
        <v>8535.3686127014898</v>
      </c>
      <c r="J32" s="39">
        <f t="shared" si="6"/>
        <v>8535.3686127014898</v>
      </c>
      <c r="K32" s="39">
        <f t="shared" ref="K32:K40" si="8">$I54*$H$31/1000</f>
        <v>25606.105838104468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>
        <f t="shared" si="4"/>
        <v>42.676843063507448</v>
      </c>
    </row>
    <row r="33" spans="1:38" ht="15" x14ac:dyDescent="0.25">
      <c r="C33" s="3" t="s">
        <v>106</v>
      </c>
      <c r="D33" s="3">
        <v>2043</v>
      </c>
      <c r="E33" s="3">
        <f t="shared" si="1"/>
        <v>5</v>
      </c>
      <c r="F33" s="39">
        <f t="shared" si="7"/>
        <v>6795</v>
      </c>
      <c r="G33" s="4">
        <v>0</v>
      </c>
      <c r="H33" s="3">
        <f t="shared" si="3"/>
        <v>0</v>
      </c>
      <c r="I33" s="39">
        <f t="shared" si="5"/>
        <v>8535.3686127014898</v>
      </c>
      <c r="J33" s="39">
        <f t="shared" si="6"/>
        <v>8535.3686127014898</v>
      </c>
      <c r="K33" s="39">
        <f t="shared" si="8"/>
        <v>25606.105838104468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>
        <f t="shared" si="4"/>
        <v>42.676843063507448</v>
      </c>
    </row>
    <row r="34" spans="1:38" ht="15" x14ac:dyDescent="0.25">
      <c r="C34" s="3" t="s">
        <v>106</v>
      </c>
      <c r="D34" s="3">
        <v>2044</v>
      </c>
      <c r="E34" s="3">
        <f t="shared" si="1"/>
        <v>6</v>
      </c>
      <c r="F34" s="39">
        <f t="shared" si="7"/>
        <v>8154</v>
      </c>
      <c r="G34" s="4">
        <v>1</v>
      </c>
      <c r="H34" s="3">
        <f t="shared" si="3"/>
        <v>1359</v>
      </c>
      <c r="I34" s="39">
        <f t="shared" si="5"/>
        <v>8535.3686127014898</v>
      </c>
      <c r="J34" s="39">
        <f t="shared" si="6"/>
        <v>8535.3686127014898</v>
      </c>
      <c r="K34" s="39">
        <f t="shared" si="8"/>
        <v>25606.105838104468</v>
      </c>
      <c r="L34" s="39">
        <f>$I53*$H$34/1000</f>
        <v>8535.3686127014898</v>
      </c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>
        <f t="shared" si="4"/>
        <v>51.212211676208938</v>
      </c>
    </row>
    <row r="35" spans="1:38" ht="15" x14ac:dyDescent="0.25">
      <c r="C35" s="3" t="s">
        <v>106</v>
      </c>
      <c r="D35" s="3">
        <v>2045</v>
      </c>
      <c r="E35" s="3">
        <f t="shared" si="1"/>
        <v>8</v>
      </c>
      <c r="F35" s="39">
        <f t="shared" si="7"/>
        <v>10872</v>
      </c>
      <c r="G35" s="4">
        <v>2</v>
      </c>
      <c r="H35" s="3">
        <f t="shared" si="3"/>
        <v>2718</v>
      </c>
      <c r="I35" s="39">
        <f t="shared" si="5"/>
        <v>8535.3686127014898</v>
      </c>
      <c r="J35" s="39">
        <f t="shared" si="6"/>
        <v>8535.3686127014898</v>
      </c>
      <c r="K35" s="39">
        <f t="shared" si="8"/>
        <v>25606.105838104468</v>
      </c>
      <c r="L35" s="39">
        <f t="shared" ref="L35:L40" si="9">$I54*$H$34/1000</f>
        <v>8535.3686127014898</v>
      </c>
      <c r="M35" s="39">
        <f>$I53*$H$35/1000</f>
        <v>17070.73722540298</v>
      </c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>
        <f t="shared" si="4"/>
        <v>68.282948901611917</v>
      </c>
    </row>
    <row r="36" spans="1:38" ht="15" x14ac:dyDescent="0.25">
      <c r="C36" s="3" t="s">
        <v>106</v>
      </c>
      <c r="D36" s="3">
        <v>2046</v>
      </c>
      <c r="E36" s="3">
        <f t="shared" si="1"/>
        <v>9</v>
      </c>
      <c r="F36" s="39">
        <f t="shared" si="7"/>
        <v>12231</v>
      </c>
      <c r="G36" s="4">
        <v>1</v>
      </c>
      <c r="H36" s="3">
        <f t="shared" si="3"/>
        <v>1359</v>
      </c>
      <c r="I36" s="39">
        <f t="shared" si="5"/>
        <v>8535.3686127014898</v>
      </c>
      <c r="J36" s="39">
        <f t="shared" si="6"/>
        <v>8535.3686127014898</v>
      </c>
      <c r="K36" s="39">
        <f t="shared" si="8"/>
        <v>25606.105838104468</v>
      </c>
      <c r="L36" s="39">
        <f t="shared" si="9"/>
        <v>8535.3686127014898</v>
      </c>
      <c r="M36" s="39">
        <f t="shared" ref="M36:M40" si="10">$I54*$H$35/1000</f>
        <v>17070.73722540298</v>
      </c>
      <c r="N36" s="39">
        <f>$I53*$H$36/1000</f>
        <v>8535.3686127014898</v>
      </c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>
        <f t="shared" si="4"/>
        <v>76.818317514313421</v>
      </c>
    </row>
    <row r="37" spans="1:38" ht="15" x14ac:dyDescent="0.25">
      <c r="C37" s="3" t="s">
        <v>106</v>
      </c>
      <c r="D37" s="3">
        <v>2047</v>
      </c>
      <c r="E37" s="3">
        <f t="shared" si="1"/>
        <v>10</v>
      </c>
      <c r="F37" s="39">
        <f t="shared" si="7"/>
        <v>13590</v>
      </c>
      <c r="G37" s="4">
        <v>1</v>
      </c>
      <c r="H37" s="3">
        <f t="shared" si="3"/>
        <v>1359</v>
      </c>
      <c r="I37" s="39">
        <f t="shared" si="5"/>
        <v>8535.3686127014898</v>
      </c>
      <c r="J37" s="39">
        <f t="shared" si="6"/>
        <v>8535.3686127014898</v>
      </c>
      <c r="K37" s="39">
        <f t="shared" si="8"/>
        <v>25606.105838104468</v>
      </c>
      <c r="L37" s="39">
        <f t="shared" si="9"/>
        <v>8535.3686127014898</v>
      </c>
      <c r="M37" s="39">
        <f t="shared" si="10"/>
        <v>17070.73722540298</v>
      </c>
      <c r="N37" s="39">
        <f t="shared" ref="N37:N40" si="11">$I54*$H$36/1000</f>
        <v>8535.3686127014898</v>
      </c>
      <c r="O37" s="39">
        <f>$I53*$H$37/1000</f>
        <v>8535.3686127014898</v>
      </c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>
        <f t="shared" si="4"/>
        <v>85.35368612701491</v>
      </c>
    </row>
    <row r="38" spans="1:38" ht="15" x14ac:dyDescent="0.25">
      <c r="C38" s="3" t="s">
        <v>106</v>
      </c>
      <c r="D38" s="3">
        <v>2048</v>
      </c>
      <c r="E38" s="3">
        <f t="shared" si="1"/>
        <v>12</v>
      </c>
      <c r="F38" s="39">
        <f t="shared" si="7"/>
        <v>16308</v>
      </c>
      <c r="G38" s="4">
        <v>2</v>
      </c>
      <c r="H38" s="3">
        <f t="shared" si="3"/>
        <v>2718</v>
      </c>
      <c r="I38" s="39">
        <f t="shared" si="5"/>
        <v>8535.3686127014898</v>
      </c>
      <c r="J38" s="39">
        <f t="shared" si="6"/>
        <v>8535.3686127014898</v>
      </c>
      <c r="K38" s="39">
        <f t="shared" si="8"/>
        <v>25606.105838104468</v>
      </c>
      <c r="L38" s="39">
        <f t="shared" si="9"/>
        <v>8535.3686127014898</v>
      </c>
      <c r="M38" s="39">
        <f t="shared" si="10"/>
        <v>17070.73722540298</v>
      </c>
      <c r="N38" s="39">
        <f t="shared" si="11"/>
        <v>8535.3686127014898</v>
      </c>
      <c r="O38" s="39">
        <f t="shared" ref="O38:O40" si="12">$I54*$H$37/1000</f>
        <v>8535.3686127014898</v>
      </c>
      <c r="P38" s="39">
        <f>$I53*$H$38/1000</f>
        <v>17070.73722540298</v>
      </c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>
        <f t="shared" si="4"/>
        <v>102.42442335241789</v>
      </c>
    </row>
    <row r="39" spans="1:38" ht="15" x14ac:dyDescent="0.25">
      <c r="C39" s="3" t="s">
        <v>106</v>
      </c>
      <c r="D39" s="3">
        <v>2049</v>
      </c>
      <c r="E39" s="3">
        <f t="shared" si="1"/>
        <v>13</v>
      </c>
      <c r="F39" s="39">
        <f t="shared" si="7"/>
        <v>17667</v>
      </c>
      <c r="G39" s="4">
        <v>1</v>
      </c>
      <c r="H39" s="3">
        <f t="shared" si="3"/>
        <v>1359</v>
      </c>
      <c r="I39" s="39">
        <f t="shared" si="5"/>
        <v>8535.3686127014898</v>
      </c>
      <c r="J39" s="39">
        <f t="shared" si="6"/>
        <v>8535.3686127014898</v>
      </c>
      <c r="K39" s="39">
        <f t="shared" si="8"/>
        <v>25606.105838104468</v>
      </c>
      <c r="L39" s="39">
        <f t="shared" si="9"/>
        <v>8535.3686127014898</v>
      </c>
      <c r="M39" s="39">
        <f t="shared" si="10"/>
        <v>17070.73722540298</v>
      </c>
      <c r="N39" s="39">
        <f t="shared" si="11"/>
        <v>8535.3686127014898</v>
      </c>
      <c r="O39" s="39">
        <f t="shared" si="12"/>
        <v>8535.3686127014898</v>
      </c>
      <c r="P39" s="39">
        <f t="shared" ref="P39:P40" si="13">$I54*$H$38/1000</f>
        <v>17070.73722540298</v>
      </c>
      <c r="Q39" s="39">
        <f>$I53*$H$39/1000</f>
        <v>8535.3686127014898</v>
      </c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>
        <f t="shared" si="4"/>
        <v>110.95979196511938</v>
      </c>
    </row>
    <row r="40" spans="1:38" ht="15" x14ac:dyDescent="0.25">
      <c r="C40" s="3" t="s">
        <v>106</v>
      </c>
      <c r="D40" s="3">
        <v>2050</v>
      </c>
      <c r="E40" s="3">
        <f t="shared" si="1"/>
        <v>15</v>
      </c>
      <c r="F40" s="39">
        <f t="shared" si="7"/>
        <v>20385</v>
      </c>
      <c r="G40" s="4">
        <v>2</v>
      </c>
      <c r="H40" s="3">
        <f t="shared" si="3"/>
        <v>2718</v>
      </c>
      <c r="I40" s="39">
        <f t="shared" si="5"/>
        <v>8535.3686127014898</v>
      </c>
      <c r="J40" s="39">
        <f t="shared" si="6"/>
        <v>8535.3686127014898</v>
      </c>
      <c r="K40" s="39">
        <f t="shared" si="8"/>
        <v>25606.105838104468</v>
      </c>
      <c r="L40" s="39">
        <f t="shared" si="9"/>
        <v>8535.3686127014898</v>
      </c>
      <c r="M40" s="39">
        <f t="shared" si="10"/>
        <v>17070.73722540298</v>
      </c>
      <c r="N40" s="39">
        <f t="shared" si="11"/>
        <v>8535.3686127014898</v>
      </c>
      <c r="O40" s="39">
        <f t="shared" si="12"/>
        <v>8535.3686127014898</v>
      </c>
      <c r="P40" s="39">
        <f t="shared" si="13"/>
        <v>17070.73722540298</v>
      </c>
      <c r="Q40" s="39">
        <f t="shared" ref="Q40" si="14">$I54*$H$39/1000</f>
        <v>8535.3686127014898</v>
      </c>
      <c r="R40" s="39">
        <f>$I53*$H$40/1000</f>
        <v>17070.73722540298</v>
      </c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>
        <f t="shared" si="4"/>
        <v>128.03052919052234</v>
      </c>
    </row>
    <row r="41" spans="1:38" ht="15" x14ac:dyDescent="0.25"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</row>
    <row r="42" spans="1:38" ht="15" x14ac:dyDescent="0.25">
      <c r="H42" s="39">
        <f>NPV($C$158,H47:H112)+H46</f>
        <v>47315.893055006258</v>
      </c>
      <c r="I42" s="39">
        <f>NPV($C$158,I47:I112)+I46</f>
        <v>47311.853104113768</v>
      </c>
      <c r="J42" s="39"/>
      <c r="K42" s="39"/>
      <c r="L42" s="39"/>
      <c r="N42" s="39"/>
      <c r="O42" s="39"/>
    </row>
    <row r="43" spans="1:38" ht="15" x14ac:dyDescent="0.25">
      <c r="C43" s="41" t="s">
        <v>119</v>
      </c>
      <c r="G43" s="39"/>
      <c r="H43" s="39"/>
      <c r="L43" s="39"/>
      <c r="O43" s="39"/>
    </row>
    <row r="44" spans="1:38" ht="60" x14ac:dyDescent="0.25">
      <c r="D44" s="43" t="s">
        <v>114</v>
      </c>
      <c r="E44" s="43" t="s">
        <v>114</v>
      </c>
      <c r="G44" s="43" t="s">
        <v>117</v>
      </c>
      <c r="H44" s="43" t="s">
        <v>108</v>
      </c>
      <c r="I44" s="43"/>
    </row>
    <row r="45" spans="1:38" ht="15" x14ac:dyDescent="0.25">
      <c r="D45" s="43" t="s">
        <v>115</v>
      </c>
      <c r="E45" s="43" t="s">
        <v>107</v>
      </c>
      <c r="G45" s="43" t="s">
        <v>116</v>
      </c>
      <c r="H45" s="43"/>
      <c r="I45" s="43"/>
    </row>
    <row r="46" spans="1:38" ht="15" x14ac:dyDescent="0.25">
      <c r="A46" s="3">
        <v>-7</v>
      </c>
      <c r="B46" s="3" t="s">
        <v>109</v>
      </c>
      <c r="C46" s="108">
        <v>8.2000000000000003E-2</v>
      </c>
      <c r="D46" s="109">
        <v>0.05</v>
      </c>
      <c r="E46" s="39">
        <f t="shared" ref="E46:E53" si="15">D46*$C$160</f>
        <v>2940.7407942238269</v>
      </c>
      <c r="G46" s="39">
        <f t="shared" ref="G46:G53" si="16">PMT($C$46,$C$47,-E46)</f>
        <v>243.29100228068626</v>
      </c>
      <c r="H46" s="39">
        <f>H45+G46</f>
        <v>243.29100228068626</v>
      </c>
      <c r="I46" s="3">
        <v>0</v>
      </c>
    </row>
    <row r="47" spans="1:38" ht="15" x14ac:dyDescent="0.25">
      <c r="A47" s="3">
        <v>-6</v>
      </c>
      <c r="B47" s="3" t="s">
        <v>110</v>
      </c>
      <c r="C47" s="4">
        <v>60</v>
      </c>
      <c r="D47" s="109">
        <v>0.05</v>
      </c>
      <c r="E47" s="39">
        <f t="shared" si="15"/>
        <v>2940.7407942238269</v>
      </c>
      <c r="G47" s="39">
        <f t="shared" si="16"/>
        <v>243.29100228068626</v>
      </c>
      <c r="H47" s="39">
        <f>H46+G47</f>
        <v>486.58200456137251</v>
      </c>
      <c r="I47" s="3">
        <v>0</v>
      </c>
    </row>
    <row r="48" spans="1:38" ht="15" x14ac:dyDescent="0.25">
      <c r="A48" s="3">
        <v>-5</v>
      </c>
      <c r="B48" s="3" t="s">
        <v>107</v>
      </c>
      <c r="C48" s="102">
        <v>58814.815884476535</v>
      </c>
      <c r="D48" s="109">
        <v>0.15</v>
      </c>
      <c r="E48" s="39">
        <f t="shared" si="15"/>
        <v>8822.2223826714799</v>
      </c>
      <c r="G48" s="39">
        <f t="shared" si="16"/>
        <v>729.87300684205877</v>
      </c>
      <c r="H48" s="39">
        <f t="shared" ref="H48:H105" si="17">H47+G48</f>
        <v>1216.4550114034314</v>
      </c>
      <c r="I48" s="3">
        <v>0</v>
      </c>
    </row>
    <row r="49" spans="1:9" ht="15" x14ac:dyDescent="0.25">
      <c r="A49" s="3">
        <v>-4</v>
      </c>
      <c r="D49" s="109">
        <v>0.15</v>
      </c>
      <c r="E49" s="39">
        <f t="shared" si="15"/>
        <v>8822.2223826714799</v>
      </c>
      <c r="G49" s="39">
        <f t="shared" si="16"/>
        <v>729.87300684205877</v>
      </c>
      <c r="H49" s="39">
        <f t="shared" si="17"/>
        <v>1946.3280182454901</v>
      </c>
      <c r="I49" s="3">
        <v>0</v>
      </c>
    </row>
    <row r="50" spans="1:9" ht="15" x14ac:dyDescent="0.25">
      <c r="A50" s="3">
        <v>-3</v>
      </c>
      <c r="D50" s="109">
        <v>0.2</v>
      </c>
      <c r="E50" s="39">
        <f t="shared" si="15"/>
        <v>11762.963176895308</v>
      </c>
      <c r="G50" s="39">
        <f t="shared" si="16"/>
        <v>973.16400912274503</v>
      </c>
      <c r="H50" s="39">
        <f t="shared" si="17"/>
        <v>2919.4920273682351</v>
      </c>
      <c r="I50" s="3">
        <v>0</v>
      </c>
    </row>
    <row r="51" spans="1:9" ht="15" x14ac:dyDescent="0.25">
      <c r="A51" s="3">
        <v>-2</v>
      </c>
      <c r="D51" s="109">
        <v>0.2</v>
      </c>
      <c r="E51" s="39">
        <f t="shared" si="15"/>
        <v>11762.963176895308</v>
      </c>
      <c r="G51" s="39">
        <f t="shared" si="16"/>
        <v>973.16400912274503</v>
      </c>
      <c r="H51" s="39">
        <f t="shared" si="17"/>
        <v>3892.6560364909801</v>
      </c>
      <c r="I51" s="3">
        <v>0</v>
      </c>
    </row>
    <row r="52" spans="1:9" ht="15" x14ac:dyDescent="0.25">
      <c r="A52" s="3">
        <v>-1</v>
      </c>
      <c r="D52" s="109">
        <v>0.1</v>
      </c>
      <c r="E52" s="39">
        <f t="shared" si="15"/>
        <v>5881.4815884476538</v>
      </c>
      <c r="G52" s="39">
        <f t="shared" si="16"/>
        <v>486.58200456137251</v>
      </c>
      <c r="H52" s="39">
        <f t="shared" si="17"/>
        <v>4379.2380410523529</v>
      </c>
      <c r="I52" s="3">
        <v>0</v>
      </c>
    </row>
    <row r="53" spans="1:9" ht="15" x14ac:dyDescent="0.25">
      <c r="A53" s="3">
        <v>0</v>
      </c>
      <c r="D53" s="109">
        <v>0.1</v>
      </c>
      <c r="E53" s="39">
        <f t="shared" si="15"/>
        <v>5881.4815884476538</v>
      </c>
      <c r="G53" s="39">
        <f t="shared" si="16"/>
        <v>486.58200456137251</v>
      </c>
      <c r="H53" s="39">
        <f t="shared" si="17"/>
        <v>4865.8200456137256</v>
      </c>
      <c r="I53" s="39">
        <v>6280.6244390739439</v>
      </c>
    </row>
    <row r="54" spans="1:9" ht="15" x14ac:dyDescent="0.25">
      <c r="A54" s="3">
        <v>1</v>
      </c>
      <c r="H54" s="39">
        <f t="shared" si="17"/>
        <v>4865.8200456137256</v>
      </c>
      <c r="I54" s="39">
        <v>6280.6244390739439</v>
      </c>
    </row>
    <row r="55" spans="1:9" ht="15" x14ac:dyDescent="0.25">
      <c r="A55" s="3">
        <v>2</v>
      </c>
      <c r="H55" s="39">
        <f t="shared" si="17"/>
        <v>4865.8200456137256</v>
      </c>
      <c r="I55" s="39">
        <v>6280.6244390739439</v>
      </c>
    </row>
    <row r="56" spans="1:9" ht="15" x14ac:dyDescent="0.25">
      <c r="A56" s="3">
        <v>3</v>
      </c>
      <c r="H56" s="39">
        <f t="shared" si="17"/>
        <v>4865.8200456137256</v>
      </c>
      <c r="I56" s="39">
        <v>6280.6244390739439</v>
      </c>
    </row>
    <row r="57" spans="1:9" ht="15" x14ac:dyDescent="0.25">
      <c r="A57" s="3">
        <v>4</v>
      </c>
      <c r="H57" s="39">
        <f t="shared" si="17"/>
        <v>4865.8200456137256</v>
      </c>
      <c r="I57" s="39">
        <v>6280.6244390739439</v>
      </c>
    </row>
    <row r="58" spans="1:9" ht="15" x14ac:dyDescent="0.25">
      <c r="A58" s="3">
        <v>5</v>
      </c>
      <c r="H58" s="39">
        <f t="shared" si="17"/>
        <v>4865.8200456137256</v>
      </c>
      <c r="I58" s="39">
        <v>6280.6244390739439</v>
      </c>
    </row>
    <row r="59" spans="1:9" ht="15" x14ac:dyDescent="0.25">
      <c r="A59" s="3">
        <v>6</v>
      </c>
      <c r="H59" s="39">
        <f t="shared" si="17"/>
        <v>4865.8200456137256</v>
      </c>
      <c r="I59" s="39">
        <v>6280.6244390739439</v>
      </c>
    </row>
    <row r="60" spans="1:9" ht="15" x14ac:dyDescent="0.25">
      <c r="A60" s="3">
        <v>7</v>
      </c>
      <c r="H60" s="39">
        <f t="shared" si="17"/>
        <v>4865.8200456137256</v>
      </c>
      <c r="I60" s="39">
        <v>6280.6244390739439</v>
      </c>
    </row>
    <row r="61" spans="1:9" ht="15" x14ac:dyDescent="0.25">
      <c r="A61" s="3">
        <v>8</v>
      </c>
      <c r="H61" s="39">
        <f t="shared" si="17"/>
        <v>4865.8200456137256</v>
      </c>
      <c r="I61" s="39">
        <v>6280.6244390739439</v>
      </c>
    </row>
    <row r="62" spans="1:9" ht="15" x14ac:dyDescent="0.25">
      <c r="A62" s="3">
        <v>9</v>
      </c>
      <c r="H62" s="39">
        <f t="shared" si="17"/>
        <v>4865.8200456137256</v>
      </c>
      <c r="I62" s="39">
        <v>6280.6244390739439</v>
      </c>
    </row>
    <row r="63" spans="1:9" ht="15" x14ac:dyDescent="0.25">
      <c r="A63" s="3">
        <v>10</v>
      </c>
      <c r="H63" s="39">
        <f t="shared" si="17"/>
        <v>4865.8200456137256</v>
      </c>
      <c r="I63" s="39">
        <v>6280.6244390739439</v>
      </c>
    </row>
    <row r="64" spans="1:9" ht="15" x14ac:dyDescent="0.25">
      <c r="A64" s="3">
        <v>11</v>
      </c>
      <c r="H64" s="39">
        <f t="shared" si="17"/>
        <v>4865.8200456137256</v>
      </c>
      <c r="I64" s="39">
        <v>6280.6244390739439</v>
      </c>
    </row>
    <row r="65" spans="1:9" ht="15" x14ac:dyDescent="0.25">
      <c r="A65" s="3">
        <v>12</v>
      </c>
      <c r="H65" s="39">
        <f t="shared" si="17"/>
        <v>4865.8200456137256</v>
      </c>
      <c r="I65" s="39">
        <v>6280.6244390739439</v>
      </c>
    </row>
    <row r="66" spans="1:9" ht="15" x14ac:dyDescent="0.25">
      <c r="A66" s="3">
        <v>13</v>
      </c>
      <c r="H66" s="39">
        <f t="shared" si="17"/>
        <v>4865.8200456137256</v>
      </c>
      <c r="I66" s="39">
        <v>6280.6244390739439</v>
      </c>
    </row>
    <row r="67" spans="1:9" ht="15" x14ac:dyDescent="0.25">
      <c r="A67" s="3">
        <v>14</v>
      </c>
      <c r="H67" s="39">
        <f t="shared" si="17"/>
        <v>4865.8200456137256</v>
      </c>
      <c r="I67" s="39">
        <v>6280.6244390739439</v>
      </c>
    </row>
    <row r="68" spans="1:9" ht="15" x14ac:dyDescent="0.25">
      <c r="A68" s="3">
        <v>15</v>
      </c>
      <c r="H68" s="39">
        <f t="shared" si="17"/>
        <v>4865.8200456137256</v>
      </c>
      <c r="I68" s="39">
        <v>6280.6244390739439</v>
      </c>
    </row>
    <row r="69" spans="1:9" ht="15" x14ac:dyDescent="0.25">
      <c r="A69" s="3">
        <v>16</v>
      </c>
      <c r="H69" s="39">
        <f t="shared" si="17"/>
        <v>4865.8200456137256</v>
      </c>
      <c r="I69" s="39">
        <v>6280.6244390739439</v>
      </c>
    </row>
    <row r="70" spans="1:9" ht="15" x14ac:dyDescent="0.25">
      <c r="A70" s="3">
        <v>17</v>
      </c>
      <c r="H70" s="39">
        <f t="shared" si="17"/>
        <v>4865.8200456137256</v>
      </c>
      <c r="I70" s="39">
        <v>6280.6244390739439</v>
      </c>
    </row>
    <row r="71" spans="1:9" ht="15" x14ac:dyDescent="0.25">
      <c r="A71" s="3">
        <v>18</v>
      </c>
      <c r="H71" s="39">
        <f t="shared" si="17"/>
        <v>4865.8200456137256</v>
      </c>
      <c r="I71" s="39">
        <v>6280.6244390739439</v>
      </c>
    </row>
    <row r="72" spans="1:9" ht="15" x14ac:dyDescent="0.25">
      <c r="A72" s="3">
        <v>19</v>
      </c>
      <c r="H72" s="39">
        <f t="shared" si="17"/>
        <v>4865.8200456137256</v>
      </c>
      <c r="I72" s="39">
        <v>6280.6244390739439</v>
      </c>
    </row>
    <row r="73" spans="1:9" ht="15" x14ac:dyDescent="0.25">
      <c r="A73" s="3">
        <v>20</v>
      </c>
      <c r="H73" s="39">
        <f t="shared" si="17"/>
        <v>4865.8200456137256</v>
      </c>
      <c r="I73" s="39">
        <v>6280.6244390739439</v>
      </c>
    </row>
    <row r="74" spans="1:9" ht="15" x14ac:dyDescent="0.25">
      <c r="A74" s="3">
        <v>21</v>
      </c>
      <c r="H74" s="39">
        <f t="shared" si="17"/>
        <v>4865.8200456137256</v>
      </c>
      <c r="I74" s="39">
        <v>6280.6244390739439</v>
      </c>
    </row>
    <row r="75" spans="1:9" ht="15" x14ac:dyDescent="0.25">
      <c r="A75" s="3">
        <v>22</v>
      </c>
      <c r="H75" s="39">
        <f t="shared" si="17"/>
        <v>4865.8200456137256</v>
      </c>
      <c r="I75" s="39">
        <v>6280.6244390739439</v>
      </c>
    </row>
    <row r="76" spans="1:9" ht="15" x14ac:dyDescent="0.25">
      <c r="A76" s="3">
        <v>23</v>
      </c>
      <c r="H76" s="39">
        <f t="shared" si="17"/>
        <v>4865.8200456137256</v>
      </c>
      <c r="I76" s="39">
        <v>6280.6244390739439</v>
      </c>
    </row>
    <row r="77" spans="1:9" ht="15" x14ac:dyDescent="0.25">
      <c r="A77" s="3">
        <v>24</v>
      </c>
      <c r="H77" s="39">
        <f t="shared" si="17"/>
        <v>4865.8200456137256</v>
      </c>
      <c r="I77" s="39">
        <v>6280.6244390739439</v>
      </c>
    </row>
    <row r="78" spans="1:9" ht="15" x14ac:dyDescent="0.25">
      <c r="A78" s="3">
        <v>25</v>
      </c>
      <c r="H78" s="39">
        <f t="shared" si="17"/>
        <v>4865.8200456137256</v>
      </c>
      <c r="I78" s="39">
        <v>6280.6244390739439</v>
      </c>
    </row>
    <row r="79" spans="1:9" ht="15" x14ac:dyDescent="0.25">
      <c r="A79" s="3">
        <v>26</v>
      </c>
      <c r="H79" s="39">
        <f t="shared" si="17"/>
        <v>4865.8200456137256</v>
      </c>
      <c r="I79" s="39">
        <v>6280.6244390739439</v>
      </c>
    </row>
    <row r="80" spans="1:9" ht="15" x14ac:dyDescent="0.25">
      <c r="A80" s="3">
        <v>27</v>
      </c>
      <c r="H80" s="39">
        <f t="shared" si="17"/>
        <v>4865.8200456137256</v>
      </c>
      <c r="I80" s="39">
        <v>6280.6244390739439</v>
      </c>
    </row>
    <row r="81" spans="1:9" ht="15" x14ac:dyDescent="0.25">
      <c r="A81" s="3">
        <v>28</v>
      </c>
      <c r="H81" s="39">
        <f t="shared" si="17"/>
        <v>4865.8200456137256</v>
      </c>
      <c r="I81" s="39">
        <v>6280.6244390739439</v>
      </c>
    </row>
    <row r="82" spans="1:9" ht="15" x14ac:dyDescent="0.25">
      <c r="A82" s="3">
        <v>29</v>
      </c>
      <c r="H82" s="39">
        <f t="shared" si="17"/>
        <v>4865.8200456137256</v>
      </c>
      <c r="I82" s="39">
        <v>6280.6244390739439</v>
      </c>
    </row>
    <row r="83" spans="1:9" ht="15" x14ac:dyDescent="0.25">
      <c r="A83" s="3">
        <v>30</v>
      </c>
      <c r="H83" s="39">
        <f t="shared" si="17"/>
        <v>4865.8200456137256</v>
      </c>
      <c r="I83" s="39">
        <v>6280.6244390739439</v>
      </c>
    </row>
    <row r="84" spans="1:9" ht="15" x14ac:dyDescent="0.25">
      <c r="A84" s="3">
        <v>31</v>
      </c>
      <c r="H84" s="39">
        <f t="shared" si="17"/>
        <v>4865.8200456137256</v>
      </c>
      <c r="I84" s="39">
        <v>6280.6244390739439</v>
      </c>
    </row>
    <row r="85" spans="1:9" ht="15" x14ac:dyDescent="0.25">
      <c r="A85" s="3">
        <v>32</v>
      </c>
      <c r="H85" s="39">
        <f t="shared" si="17"/>
        <v>4865.8200456137256</v>
      </c>
      <c r="I85" s="39">
        <v>6280.6244390739439</v>
      </c>
    </row>
    <row r="86" spans="1:9" ht="15" x14ac:dyDescent="0.25">
      <c r="A86" s="3">
        <v>33</v>
      </c>
      <c r="H86" s="39">
        <f t="shared" si="17"/>
        <v>4865.8200456137256</v>
      </c>
      <c r="I86" s="39">
        <v>6280.6244390739439</v>
      </c>
    </row>
    <row r="87" spans="1:9" ht="15" x14ac:dyDescent="0.25">
      <c r="A87" s="3">
        <v>34</v>
      </c>
      <c r="H87" s="39">
        <f t="shared" si="17"/>
        <v>4865.8200456137256</v>
      </c>
      <c r="I87" s="39">
        <v>6280.6244390739439</v>
      </c>
    </row>
    <row r="88" spans="1:9" ht="15" x14ac:dyDescent="0.25">
      <c r="A88" s="3">
        <v>35</v>
      </c>
      <c r="H88" s="39">
        <f t="shared" si="17"/>
        <v>4865.8200456137256</v>
      </c>
      <c r="I88" s="39">
        <v>6280.6244390739439</v>
      </c>
    </row>
    <row r="89" spans="1:9" ht="15" x14ac:dyDescent="0.25">
      <c r="A89" s="3">
        <v>36</v>
      </c>
      <c r="H89" s="39">
        <f t="shared" si="17"/>
        <v>4865.8200456137256</v>
      </c>
      <c r="I89" s="39">
        <v>6280.6244390739439</v>
      </c>
    </row>
    <row r="90" spans="1:9" ht="15" x14ac:dyDescent="0.25">
      <c r="A90" s="3">
        <v>37</v>
      </c>
      <c r="H90" s="39">
        <f t="shared" si="17"/>
        <v>4865.8200456137256</v>
      </c>
      <c r="I90" s="39">
        <v>6280.6244390739439</v>
      </c>
    </row>
    <row r="91" spans="1:9" ht="15" x14ac:dyDescent="0.25">
      <c r="A91" s="3">
        <v>38</v>
      </c>
      <c r="H91" s="39">
        <f t="shared" si="17"/>
        <v>4865.8200456137256</v>
      </c>
      <c r="I91" s="39">
        <v>6280.6244390739439</v>
      </c>
    </row>
    <row r="92" spans="1:9" ht="15" x14ac:dyDescent="0.25">
      <c r="A92" s="3">
        <v>39</v>
      </c>
      <c r="H92" s="39">
        <f t="shared" si="17"/>
        <v>4865.8200456137256</v>
      </c>
      <c r="I92" s="39">
        <v>6280.6244390739439</v>
      </c>
    </row>
    <row r="93" spans="1:9" ht="15" x14ac:dyDescent="0.25">
      <c r="A93" s="3">
        <v>40</v>
      </c>
      <c r="H93" s="39">
        <f t="shared" si="17"/>
        <v>4865.8200456137256</v>
      </c>
      <c r="I93" s="39">
        <v>6280.6244390739439</v>
      </c>
    </row>
    <row r="94" spans="1:9" ht="15" x14ac:dyDescent="0.25">
      <c r="A94" s="3">
        <v>41</v>
      </c>
      <c r="H94" s="39">
        <f t="shared" si="17"/>
        <v>4865.8200456137256</v>
      </c>
      <c r="I94" s="39">
        <v>6280.6244390739439</v>
      </c>
    </row>
    <row r="95" spans="1:9" ht="15" x14ac:dyDescent="0.25">
      <c r="A95" s="3">
        <v>42</v>
      </c>
      <c r="H95" s="39">
        <f t="shared" si="17"/>
        <v>4865.8200456137256</v>
      </c>
      <c r="I95" s="39">
        <v>6280.6244390739439</v>
      </c>
    </row>
    <row r="96" spans="1:9" ht="15" x14ac:dyDescent="0.25">
      <c r="A96" s="3">
        <v>43</v>
      </c>
      <c r="H96" s="39">
        <f t="shared" si="17"/>
        <v>4865.8200456137256</v>
      </c>
      <c r="I96" s="39">
        <v>6280.6244390739439</v>
      </c>
    </row>
    <row r="97" spans="1:9" ht="15" x14ac:dyDescent="0.25">
      <c r="A97" s="3">
        <v>44</v>
      </c>
      <c r="H97" s="39">
        <f t="shared" si="17"/>
        <v>4865.8200456137256</v>
      </c>
      <c r="I97" s="39">
        <v>6280.6244390739439</v>
      </c>
    </row>
    <row r="98" spans="1:9" ht="15" x14ac:dyDescent="0.25">
      <c r="A98" s="3">
        <v>45</v>
      </c>
      <c r="H98" s="39">
        <f t="shared" si="17"/>
        <v>4865.8200456137256</v>
      </c>
      <c r="I98" s="39">
        <v>6280.6244390739439</v>
      </c>
    </row>
    <row r="99" spans="1:9" ht="15" x14ac:dyDescent="0.25">
      <c r="A99" s="3">
        <v>46</v>
      </c>
      <c r="H99" s="39">
        <f t="shared" si="17"/>
        <v>4865.8200456137256</v>
      </c>
      <c r="I99" s="39">
        <v>6280.6244390739439</v>
      </c>
    </row>
    <row r="100" spans="1:9" ht="15" x14ac:dyDescent="0.25">
      <c r="A100" s="3">
        <v>47</v>
      </c>
      <c r="H100" s="39">
        <f t="shared" si="17"/>
        <v>4865.8200456137256</v>
      </c>
      <c r="I100" s="39">
        <v>6280.6244390739439</v>
      </c>
    </row>
    <row r="101" spans="1:9" ht="15" x14ac:dyDescent="0.25">
      <c r="A101" s="3">
        <v>48</v>
      </c>
      <c r="H101" s="39">
        <f t="shared" si="17"/>
        <v>4865.8200456137256</v>
      </c>
      <c r="I101" s="39">
        <v>6280.6244390739439</v>
      </c>
    </row>
    <row r="102" spans="1:9" ht="15" x14ac:dyDescent="0.25">
      <c r="A102" s="3">
        <v>49</v>
      </c>
      <c r="H102" s="39">
        <f t="shared" si="17"/>
        <v>4865.8200456137256</v>
      </c>
      <c r="I102" s="39">
        <v>6280.6244390739439</v>
      </c>
    </row>
    <row r="103" spans="1:9" ht="15" x14ac:dyDescent="0.25">
      <c r="A103" s="3">
        <v>50</v>
      </c>
      <c r="H103" s="39">
        <f t="shared" si="17"/>
        <v>4865.8200456137256</v>
      </c>
      <c r="I103" s="39">
        <v>6280.6244390739439</v>
      </c>
    </row>
    <row r="104" spans="1:9" ht="15" x14ac:dyDescent="0.25">
      <c r="A104" s="3">
        <v>51</v>
      </c>
      <c r="H104" s="39">
        <f t="shared" si="17"/>
        <v>4865.8200456137256</v>
      </c>
      <c r="I104" s="39">
        <v>6280.6244390739439</v>
      </c>
    </row>
    <row r="105" spans="1:9" ht="15" x14ac:dyDescent="0.25">
      <c r="A105" s="3">
        <v>52</v>
      </c>
      <c r="E105" s="39"/>
      <c r="G105" s="39"/>
      <c r="H105" s="39">
        <f t="shared" si="17"/>
        <v>4865.8200456137256</v>
      </c>
      <c r="I105" s="39">
        <v>6280.6244390739439</v>
      </c>
    </row>
    <row r="106" spans="1:9" ht="15" x14ac:dyDescent="0.25">
      <c r="A106" s="3">
        <v>53</v>
      </c>
      <c r="E106" s="39"/>
      <c r="G106" s="39">
        <v>-250.04262945830581</v>
      </c>
      <c r="H106" s="39">
        <v>4750.8099597078099</v>
      </c>
      <c r="I106" s="39">
        <v>6280.6244390739439</v>
      </c>
    </row>
    <row r="107" spans="1:9" ht="15" x14ac:dyDescent="0.25">
      <c r="A107" s="3">
        <v>54</v>
      </c>
      <c r="E107" s="39"/>
      <c r="G107" s="39">
        <v>-250.04262945830581</v>
      </c>
      <c r="H107" s="39">
        <v>4500.7673302495041</v>
      </c>
      <c r="I107" s="39">
        <v>6280.6244390739439</v>
      </c>
    </row>
    <row r="108" spans="1:9" ht="15" x14ac:dyDescent="0.25">
      <c r="A108" s="3">
        <v>55</v>
      </c>
      <c r="E108" s="39"/>
      <c r="G108" s="39">
        <v>-750.12788837491735</v>
      </c>
      <c r="H108" s="39">
        <v>3750.6394418745867</v>
      </c>
      <c r="I108" s="39">
        <v>6280.6244390739439</v>
      </c>
    </row>
    <row r="109" spans="1:9" ht="15" x14ac:dyDescent="0.25">
      <c r="A109" s="3">
        <v>56</v>
      </c>
      <c r="E109" s="39"/>
      <c r="G109" s="39">
        <v>-750.12788837491735</v>
      </c>
      <c r="H109" s="39">
        <v>3000.5115534996694</v>
      </c>
      <c r="I109" s="39">
        <v>6280.6244390739439</v>
      </c>
    </row>
    <row r="110" spans="1:9" ht="15" x14ac:dyDescent="0.25">
      <c r="A110" s="3">
        <v>57</v>
      </c>
      <c r="E110" s="39"/>
      <c r="G110" s="39">
        <v>-1000.1705178332232</v>
      </c>
      <c r="H110" s="39">
        <v>2000.3410356664463</v>
      </c>
      <c r="I110" s="39">
        <v>6280.6244390739439</v>
      </c>
    </row>
    <row r="111" spans="1:9" ht="15" x14ac:dyDescent="0.25">
      <c r="A111" s="3">
        <v>58</v>
      </c>
      <c r="E111" s="39"/>
      <c r="G111" s="39">
        <v>-1000.1705178332232</v>
      </c>
      <c r="H111" s="39">
        <v>1000.170517833223</v>
      </c>
      <c r="I111" s="39">
        <v>6280.6244390739439</v>
      </c>
    </row>
    <row r="112" spans="1:9" ht="15" x14ac:dyDescent="0.25">
      <c r="A112" s="3">
        <v>59</v>
      </c>
      <c r="E112" s="39"/>
      <c r="G112" s="39">
        <v>-500.08525891661162</v>
      </c>
      <c r="H112" s="39">
        <v>500.08525891661139</v>
      </c>
      <c r="I112" s="39">
        <v>6280.6244390739439</v>
      </c>
    </row>
    <row r="113" spans="2:38" x14ac:dyDescent="0.3">
      <c r="E113" s="39"/>
      <c r="F113" s="39"/>
      <c r="G113" s="39"/>
      <c r="H113" s="39"/>
    </row>
    <row r="114" spans="2:38" s="9" customFormat="1" ht="21" x14ac:dyDescent="0.4">
      <c r="B114" s="10" t="s">
        <v>118</v>
      </c>
      <c r="AA114" s="86"/>
    </row>
    <row r="116" spans="2:38" ht="28.8" x14ac:dyDescent="0.3">
      <c r="C116" s="3" t="s">
        <v>111</v>
      </c>
      <c r="D116" s="41" t="s">
        <v>100</v>
      </c>
      <c r="E116" s="41" t="s">
        <v>101</v>
      </c>
      <c r="F116" s="43" t="s">
        <v>102</v>
      </c>
      <c r="G116" s="41" t="s">
        <v>103</v>
      </c>
      <c r="H116" s="41" t="s">
        <v>104</v>
      </c>
      <c r="I116" s="41">
        <v>2026</v>
      </c>
      <c r="J116" s="41">
        <v>2028</v>
      </c>
      <c r="K116" s="41">
        <v>2030</v>
      </c>
      <c r="L116" s="41">
        <v>2031</v>
      </c>
      <c r="M116" s="41">
        <v>2033</v>
      </c>
      <c r="N116" s="41">
        <v>2034</v>
      </c>
      <c r="O116" s="41">
        <v>2036</v>
      </c>
      <c r="P116" s="41">
        <v>2037</v>
      </c>
      <c r="Q116" s="41">
        <v>2038</v>
      </c>
      <c r="R116" s="41">
        <v>2039</v>
      </c>
      <c r="S116" s="41">
        <v>2041</v>
      </c>
      <c r="T116" s="41">
        <v>2042</v>
      </c>
      <c r="U116" s="41">
        <v>2043</v>
      </c>
      <c r="V116" s="41">
        <v>2044</v>
      </c>
      <c r="W116" s="41">
        <v>2046</v>
      </c>
      <c r="X116" s="41">
        <v>2047</v>
      </c>
      <c r="Y116" s="41">
        <v>2048</v>
      </c>
      <c r="Z116" s="41">
        <v>2049</v>
      </c>
      <c r="AA116" s="41">
        <v>2051</v>
      </c>
      <c r="AB116" s="41">
        <v>2052</v>
      </c>
      <c r="AC116" s="41">
        <f>2053</f>
        <v>2053</v>
      </c>
      <c r="AD116" s="41">
        <v>2054</v>
      </c>
      <c r="AE116" s="41">
        <v>2055</v>
      </c>
      <c r="AF116" s="41">
        <v>2056</v>
      </c>
      <c r="AG116" s="41">
        <v>2057</v>
      </c>
      <c r="AH116" s="41">
        <v>2058</v>
      </c>
      <c r="AI116" s="41">
        <v>2059</v>
      </c>
      <c r="AJ116" s="41">
        <v>2060</v>
      </c>
      <c r="AL116" s="43" t="s">
        <v>112</v>
      </c>
    </row>
    <row r="117" spans="2:38" s="41" customFormat="1" x14ac:dyDescent="0.3">
      <c r="I117" s="41" t="s">
        <v>105</v>
      </c>
      <c r="AL117" s="41" t="s">
        <v>113</v>
      </c>
    </row>
    <row r="118" spans="2:38" x14ac:dyDescent="0.3">
      <c r="C118" s="3" t="s">
        <v>106</v>
      </c>
      <c r="D118" s="3">
        <v>2016</v>
      </c>
      <c r="E118" s="3">
        <f>G118+E117</f>
        <v>0</v>
      </c>
      <c r="F118" s="39">
        <v>0</v>
      </c>
      <c r="G118" s="4">
        <v>0</v>
      </c>
      <c r="H118" s="3">
        <f>G118*1359</f>
        <v>0</v>
      </c>
      <c r="AL118" s="39">
        <f>SUM(I118:AJ118)/1000</f>
        <v>0</v>
      </c>
    </row>
    <row r="119" spans="2:38" x14ac:dyDescent="0.3">
      <c r="C119" s="3" t="s">
        <v>106</v>
      </c>
      <c r="D119" s="3">
        <v>2017</v>
      </c>
      <c r="E119" s="3">
        <f t="shared" ref="E119:E152" si="18">G119+E118</f>
        <v>0</v>
      </c>
      <c r="F119" s="39">
        <f t="shared" ref="F119:F142" si="19">E119*1359</f>
        <v>0</v>
      </c>
      <c r="G119" s="4">
        <v>0</v>
      </c>
      <c r="H119" s="3">
        <f t="shared" ref="H119:H152" si="20">G119*1359</f>
        <v>0</v>
      </c>
      <c r="AL119" s="39">
        <f t="shared" ref="AL119:AL152" si="21">SUM(I119:AJ119)/1000</f>
        <v>0</v>
      </c>
    </row>
    <row r="120" spans="2:38" x14ac:dyDescent="0.3">
      <c r="C120" s="3" t="s">
        <v>106</v>
      </c>
      <c r="D120" s="3">
        <v>2018</v>
      </c>
      <c r="E120" s="3">
        <f t="shared" si="18"/>
        <v>0</v>
      </c>
      <c r="F120" s="39">
        <f t="shared" si="19"/>
        <v>0</v>
      </c>
      <c r="G120" s="4">
        <v>0</v>
      </c>
      <c r="H120" s="3">
        <f t="shared" si="20"/>
        <v>0</v>
      </c>
      <c r="AL120" s="39">
        <f t="shared" si="21"/>
        <v>0</v>
      </c>
    </row>
    <row r="121" spans="2:38" x14ac:dyDescent="0.3">
      <c r="C121" s="3" t="s">
        <v>106</v>
      </c>
      <c r="D121" s="3">
        <v>2019</v>
      </c>
      <c r="E121" s="3">
        <f t="shared" si="18"/>
        <v>0</v>
      </c>
      <c r="F121" s="39">
        <f t="shared" si="19"/>
        <v>0</v>
      </c>
      <c r="G121" s="4">
        <v>0</v>
      </c>
      <c r="H121" s="3">
        <f t="shared" si="20"/>
        <v>0</v>
      </c>
      <c r="I121" s="39">
        <f t="shared" ref="I121:I152" si="22">$G158*$H$128/1000</f>
        <v>330.63247209945263</v>
      </c>
      <c r="J121" s="39"/>
      <c r="AL121" s="39">
        <f t="shared" si="21"/>
        <v>0.33063247209945262</v>
      </c>
    </row>
    <row r="122" spans="2:38" x14ac:dyDescent="0.3">
      <c r="C122" s="3" t="s">
        <v>106</v>
      </c>
      <c r="D122" s="3">
        <v>2020</v>
      </c>
      <c r="E122" s="3">
        <f t="shared" si="18"/>
        <v>0</v>
      </c>
      <c r="F122" s="39">
        <f t="shared" si="19"/>
        <v>0</v>
      </c>
      <c r="G122" s="4">
        <v>0</v>
      </c>
      <c r="H122" s="3">
        <f t="shared" si="20"/>
        <v>0</v>
      </c>
      <c r="I122" s="39">
        <f t="shared" si="22"/>
        <v>661.26494419890525</v>
      </c>
      <c r="J122" s="39"/>
      <c r="AL122" s="39">
        <f t="shared" si="21"/>
        <v>0.66126494419890525</v>
      </c>
    </row>
    <row r="123" spans="2:38" x14ac:dyDescent="0.3">
      <c r="C123" s="3" t="s">
        <v>106</v>
      </c>
      <c r="D123" s="3">
        <v>2021</v>
      </c>
      <c r="E123" s="3">
        <f t="shared" si="18"/>
        <v>0</v>
      </c>
      <c r="F123" s="39">
        <f t="shared" si="19"/>
        <v>0</v>
      </c>
      <c r="G123" s="4">
        <v>0</v>
      </c>
      <c r="H123" s="3">
        <f t="shared" si="20"/>
        <v>0</v>
      </c>
      <c r="I123" s="39">
        <f t="shared" si="22"/>
        <v>1653.1623604972633</v>
      </c>
      <c r="J123" s="39">
        <f t="shared" ref="J123:J152" si="23">$G158*$H$130/1000</f>
        <v>661.26494419890525</v>
      </c>
      <c r="AL123" s="39">
        <f t="shared" si="21"/>
        <v>2.3144273046961685</v>
      </c>
    </row>
    <row r="124" spans="2:38" x14ac:dyDescent="0.3">
      <c r="C124" s="3" t="s">
        <v>106</v>
      </c>
      <c r="D124" s="3">
        <v>2022</v>
      </c>
      <c r="E124" s="3">
        <f t="shared" si="18"/>
        <v>0</v>
      </c>
      <c r="F124" s="39">
        <f t="shared" si="19"/>
        <v>0</v>
      </c>
      <c r="G124" s="4">
        <v>0</v>
      </c>
      <c r="H124" s="3">
        <f t="shared" si="20"/>
        <v>0</v>
      </c>
      <c r="I124" s="39">
        <f t="shared" si="22"/>
        <v>2645.059776795621</v>
      </c>
      <c r="J124" s="39">
        <f t="shared" si="23"/>
        <v>1322.5298883978105</v>
      </c>
      <c r="AL124" s="39">
        <f t="shared" si="21"/>
        <v>3.9675896651934317</v>
      </c>
    </row>
    <row r="125" spans="2:38" x14ac:dyDescent="0.3">
      <c r="C125" s="3" t="s">
        <v>106</v>
      </c>
      <c r="D125" s="3">
        <v>2023</v>
      </c>
      <c r="E125" s="3">
        <f t="shared" si="18"/>
        <v>0</v>
      </c>
      <c r="F125" s="39">
        <f t="shared" si="19"/>
        <v>0</v>
      </c>
      <c r="G125" s="4">
        <v>0</v>
      </c>
      <c r="H125" s="3">
        <f t="shared" si="20"/>
        <v>0</v>
      </c>
      <c r="I125" s="39">
        <f t="shared" si="22"/>
        <v>3967.5896651934318</v>
      </c>
      <c r="J125" s="39">
        <f t="shared" si="23"/>
        <v>3306.3247209945266</v>
      </c>
      <c r="K125" s="39">
        <f t="shared" ref="K125:K152" si="24">$G158*$H$132/1000</f>
        <v>330.63247209945263</v>
      </c>
      <c r="AL125" s="39">
        <f t="shared" si="21"/>
        <v>7.6045468582874109</v>
      </c>
    </row>
    <row r="126" spans="2:38" x14ac:dyDescent="0.3">
      <c r="C126" s="3" t="s">
        <v>106</v>
      </c>
      <c r="D126" s="3">
        <v>2024</v>
      </c>
      <c r="E126" s="3">
        <f t="shared" si="18"/>
        <v>0</v>
      </c>
      <c r="F126" s="39">
        <f t="shared" si="19"/>
        <v>0</v>
      </c>
      <c r="G126" s="4">
        <v>0</v>
      </c>
      <c r="H126" s="3">
        <f t="shared" si="20"/>
        <v>0</v>
      </c>
      <c r="I126" s="39">
        <f t="shared" si="22"/>
        <v>5290.119553591242</v>
      </c>
      <c r="J126" s="39">
        <f t="shared" si="23"/>
        <v>5290.119553591242</v>
      </c>
      <c r="K126" s="39">
        <f t="shared" si="24"/>
        <v>661.26494419890525</v>
      </c>
      <c r="L126" s="39">
        <f t="shared" ref="L126:L152" si="25">$G158*$H$133/1000</f>
        <v>330.63247209945263</v>
      </c>
      <c r="AL126" s="39">
        <f t="shared" si="21"/>
        <v>11.572136523480841</v>
      </c>
    </row>
    <row r="127" spans="2:38" x14ac:dyDescent="0.3">
      <c r="C127" s="3" t="s">
        <v>106</v>
      </c>
      <c r="D127" s="3">
        <v>2025</v>
      </c>
      <c r="E127" s="3">
        <f t="shared" si="18"/>
        <v>0</v>
      </c>
      <c r="F127" s="39">
        <f t="shared" si="19"/>
        <v>0</v>
      </c>
      <c r="G127" s="4">
        <v>0</v>
      </c>
      <c r="H127" s="3">
        <f t="shared" si="20"/>
        <v>0</v>
      </c>
      <c r="I127" s="39">
        <f t="shared" si="22"/>
        <v>5951.3844977901472</v>
      </c>
      <c r="J127" s="39">
        <f t="shared" si="23"/>
        <v>7935.1793303868635</v>
      </c>
      <c r="K127" s="39">
        <f t="shared" si="24"/>
        <v>1653.1623604972633</v>
      </c>
      <c r="L127" s="39">
        <f t="shared" si="25"/>
        <v>661.26494419890525</v>
      </c>
      <c r="AL127" s="39">
        <f t="shared" si="21"/>
        <v>16.200991132873181</v>
      </c>
    </row>
    <row r="128" spans="2:38" x14ac:dyDescent="0.3">
      <c r="C128" s="3" t="s">
        <v>106</v>
      </c>
      <c r="D128" s="3">
        <v>2026</v>
      </c>
      <c r="E128" s="3">
        <f t="shared" si="18"/>
        <v>1</v>
      </c>
      <c r="F128" s="39">
        <f t="shared" si="19"/>
        <v>1359</v>
      </c>
      <c r="G128" s="4">
        <v>1</v>
      </c>
      <c r="H128" s="3">
        <f t="shared" si="20"/>
        <v>1359</v>
      </c>
      <c r="I128" s="39">
        <f t="shared" si="22"/>
        <v>6612.6494419890532</v>
      </c>
      <c r="J128" s="39">
        <f t="shared" si="23"/>
        <v>10580.239107182484</v>
      </c>
      <c r="K128" s="39">
        <f t="shared" si="24"/>
        <v>2645.059776795621</v>
      </c>
      <c r="L128" s="39">
        <f t="shared" si="25"/>
        <v>1653.1623604972633</v>
      </c>
      <c r="M128" s="39">
        <f t="shared" ref="M128:M152" si="26">$G158*$H$135/1000</f>
        <v>330.63247209945263</v>
      </c>
      <c r="AL128" s="39">
        <f t="shared" si="21"/>
        <v>21.821743158563873</v>
      </c>
    </row>
    <row r="129" spans="3:38" x14ac:dyDescent="0.3">
      <c r="C129" s="3" t="s">
        <v>106</v>
      </c>
      <c r="D129" s="3">
        <v>2027</v>
      </c>
      <c r="E129" s="3">
        <f t="shared" si="18"/>
        <v>1</v>
      </c>
      <c r="F129" s="39">
        <f t="shared" si="19"/>
        <v>1359</v>
      </c>
      <c r="G129" s="4">
        <v>0</v>
      </c>
      <c r="H129" s="3">
        <f t="shared" si="20"/>
        <v>0</v>
      </c>
      <c r="I129" s="39">
        <f t="shared" si="22"/>
        <v>6612.6494419890532</v>
      </c>
      <c r="J129" s="39">
        <f t="shared" si="23"/>
        <v>11902.768995580294</v>
      </c>
      <c r="K129" s="39">
        <f t="shared" si="24"/>
        <v>3967.5896651934318</v>
      </c>
      <c r="L129" s="39">
        <f t="shared" si="25"/>
        <v>2645.059776795621</v>
      </c>
      <c r="M129" s="39">
        <f t="shared" si="26"/>
        <v>661.26494419890525</v>
      </c>
      <c r="N129" s="39">
        <f t="shared" ref="N129:N152" si="27">$G158*$H$136/1000</f>
        <v>330.63247209945263</v>
      </c>
      <c r="AL129" s="39">
        <f t="shared" si="21"/>
        <v>26.119965295856758</v>
      </c>
    </row>
    <row r="130" spans="3:38" x14ac:dyDescent="0.3">
      <c r="C130" s="3" t="s">
        <v>106</v>
      </c>
      <c r="D130" s="3">
        <v>2028</v>
      </c>
      <c r="E130" s="3">
        <f t="shared" si="18"/>
        <v>3</v>
      </c>
      <c r="F130" s="39">
        <f t="shared" si="19"/>
        <v>4077</v>
      </c>
      <c r="G130" s="4">
        <v>2</v>
      </c>
      <c r="H130" s="3">
        <f t="shared" si="20"/>
        <v>2718</v>
      </c>
      <c r="I130" s="39">
        <f t="shared" si="22"/>
        <v>6612.6494419890532</v>
      </c>
      <c r="J130" s="39">
        <f t="shared" si="23"/>
        <v>13225.298883978106</v>
      </c>
      <c r="K130" s="39">
        <f t="shared" si="24"/>
        <v>5290.119553591242</v>
      </c>
      <c r="L130" s="39">
        <f t="shared" si="25"/>
        <v>3967.5896651934318</v>
      </c>
      <c r="M130" s="39">
        <f t="shared" si="26"/>
        <v>1653.1623604972633</v>
      </c>
      <c r="N130" s="39">
        <f t="shared" si="27"/>
        <v>661.26494419890525</v>
      </c>
      <c r="AL130" s="39">
        <f t="shared" si="21"/>
        <v>31.410084849448001</v>
      </c>
    </row>
    <row r="131" spans="3:38" x14ac:dyDescent="0.3">
      <c r="C131" s="3" t="s">
        <v>106</v>
      </c>
      <c r="D131" s="3">
        <v>2029</v>
      </c>
      <c r="E131" s="3">
        <f t="shared" si="18"/>
        <v>3</v>
      </c>
      <c r="F131" s="39">
        <f t="shared" si="19"/>
        <v>4077</v>
      </c>
      <c r="G131" s="4">
        <v>0</v>
      </c>
      <c r="H131" s="3">
        <f t="shared" si="20"/>
        <v>0</v>
      </c>
      <c r="I131" s="39">
        <f t="shared" si="22"/>
        <v>6612.6494419890532</v>
      </c>
      <c r="J131" s="39">
        <f t="shared" si="23"/>
        <v>13225.298883978106</v>
      </c>
      <c r="K131" s="39">
        <f t="shared" si="24"/>
        <v>5951.3844977901472</v>
      </c>
      <c r="L131" s="39">
        <f t="shared" si="25"/>
        <v>5290.119553591242</v>
      </c>
      <c r="M131" s="39">
        <f t="shared" si="26"/>
        <v>2645.059776795621</v>
      </c>
      <c r="N131" s="39">
        <f t="shared" si="27"/>
        <v>1653.1623604972633</v>
      </c>
      <c r="O131" s="39"/>
      <c r="AL131" s="39">
        <f t="shared" si="21"/>
        <v>35.377674514641434</v>
      </c>
    </row>
    <row r="132" spans="3:38" x14ac:dyDescent="0.3">
      <c r="C132" s="3" t="s">
        <v>106</v>
      </c>
      <c r="D132" s="3">
        <v>2030</v>
      </c>
      <c r="E132" s="3">
        <f t="shared" si="18"/>
        <v>4</v>
      </c>
      <c r="F132" s="39">
        <f t="shared" si="19"/>
        <v>5436</v>
      </c>
      <c r="G132" s="4">
        <v>1</v>
      </c>
      <c r="H132" s="3">
        <f t="shared" si="20"/>
        <v>1359</v>
      </c>
      <c r="I132" s="39">
        <f t="shared" si="22"/>
        <v>6612.6494419890532</v>
      </c>
      <c r="J132" s="39">
        <f t="shared" si="23"/>
        <v>13225.298883978106</v>
      </c>
      <c r="K132" s="39">
        <f t="shared" si="24"/>
        <v>6612.6494419890532</v>
      </c>
      <c r="L132" s="39">
        <f t="shared" si="25"/>
        <v>5951.3844977901472</v>
      </c>
      <c r="M132" s="39">
        <f t="shared" si="26"/>
        <v>3967.5896651934318</v>
      </c>
      <c r="N132" s="39">
        <f t="shared" si="27"/>
        <v>2645.059776795621</v>
      </c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>
        <f t="shared" si="21"/>
        <v>39.014631707735411</v>
      </c>
    </row>
    <row r="133" spans="3:38" x14ac:dyDescent="0.3">
      <c r="C133" s="3" t="s">
        <v>106</v>
      </c>
      <c r="D133" s="3">
        <v>2031</v>
      </c>
      <c r="E133" s="3">
        <f t="shared" si="18"/>
        <v>5</v>
      </c>
      <c r="F133" s="39">
        <f t="shared" si="19"/>
        <v>6795</v>
      </c>
      <c r="G133" s="4">
        <v>1</v>
      </c>
      <c r="H133" s="3">
        <f t="shared" si="20"/>
        <v>1359</v>
      </c>
      <c r="I133" s="39">
        <f t="shared" si="22"/>
        <v>6612.6494419890532</v>
      </c>
      <c r="J133" s="39">
        <f t="shared" si="23"/>
        <v>13225.298883978106</v>
      </c>
      <c r="K133" s="39">
        <f t="shared" si="24"/>
        <v>6612.6494419890532</v>
      </c>
      <c r="L133" s="39">
        <f t="shared" si="25"/>
        <v>6612.6494419890532</v>
      </c>
      <c r="M133" s="39">
        <f t="shared" si="26"/>
        <v>5290.119553591242</v>
      </c>
      <c r="N133" s="39">
        <f t="shared" si="27"/>
        <v>3967.5896651934318</v>
      </c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>
        <f t="shared" si="21"/>
        <v>42.320956428729936</v>
      </c>
    </row>
    <row r="134" spans="3:38" x14ac:dyDescent="0.3">
      <c r="C134" s="3" t="s">
        <v>106</v>
      </c>
      <c r="D134" s="3">
        <v>2032</v>
      </c>
      <c r="E134" s="3">
        <f t="shared" si="18"/>
        <v>5</v>
      </c>
      <c r="F134" s="39">
        <f t="shared" si="19"/>
        <v>6795</v>
      </c>
      <c r="G134" s="4">
        <v>0</v>
      </c>
      <c r="H134" s="3">
        <f t="shared" si="20"/>
        <v>0</v>
      </c>
      <c r="I134" s="39">
        <f t="shared" si="22"/>
        <v>6612.6494419890532</v>
      </c>
      <c r="J134" s="39">
        <f t="shared" si="23"/>
        <v>13225.298883978106</v>
      </c>
      <c r="K134" s="39">
        <f t="shared" si="24"/>
        <v>6612.6494419890532</v>
      </c>
      <c r="L134" s="39">
        <f t="shared" si="25"/>
        <v>6612.6494419890532</v>
      </c>
      <c r="M134" s="39">
        <f t="shared" si="26"/>
        <v>5951.3844977901472</v>
      </c>
      <c r="N134" s="39">
        <f t="shared" si="27"/>
        <v>5290.119553591242</v>
      </c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>
        <f t="shared" si="21"/>
        <v>44.304751261326651</v>
      </c>
    </row>
    <row r="135" spans="3:38" x14ac:dyDescent="0.3">
      <c r="C135" s="3" t="s">
        <v>106</v>
      </c>
      <c r="D135" s="3">
        <v>2033</v>
      </c>
      <c r="E135" s="3">
        <f t="shared" si="18"/>
        <v>6</v>
      </c>
      <c r="F135" s="39">
        <f t="shared" si="19"/>
        <v>8154</v>
      </c>
      <c r="G135" s="4">
        <v>1</v>
      </c>
      <c r="H135" s="3">
        <f t="shared" si="20"/>
        <v>1359</v>
      </c>
      <c r="I135" s="39">
        <f t="shared" si="22"/>
        <v>6612.6494419890532</v>
      </c>
      <c r="J135" s="39">
        <f t="shared" si="23"/>
        <v>13225.298883978106</v>
      </c>
      <c r="K135" s="39">
        <f t="shared" si="24"/>
        <v>6612.6494419890532</v>
      </c>
      <c r="L135" s="39">
        <f t="shared" si="25"/>
        <v>6612.6494419890532</v>
      </c>
      <c r="M135" s="39">
        <f t="shared" si="26"/>
        <v>6612.6494419890532</v>
      </c>
      <c r="N135" s="39">
        <f t="shared" si="27"/>
        <v>5951.3844977901472</v>
      </c>
      <c r="O135" s="39"/>
      <c r="P135" s="39"/>
      <c r="Q135" s="39"/>
      <c r="R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>
        <f t="shared" si="21"/>
        <v>45.62728114972446</v>
      </c>
    </row>
    <row r="136" spans="3:38" x14ac:dyDescent="0.3">
      <c r="C136" s="3" t="s">
        <v>106</v>
      </c>
      <c r="D136" s="3">
        <v>2034</v>
      </c>
      <c r="E136" s="3">
        <f t="shared" si="18"/>
        <v>7</v>
      </c>
      <c r="F136" s="39">
        <f t="shared" si="19"/>
        <v>9513</v>
      </c>
      <c r="G136" s="4">
        <v>1</v>
      </c>
      <c r="H136" s="3">
        <f t="shared" si="20"/>
        <v>1359</v>
      </c>
      <c r="I136" s="39">
        <f t="shared" si="22"/>
        <v>6612.6494419890532</v>
      </c>
      <c r="J136" s="39">
        <f t="shared" si="23"/>
        <v>13225.298883978106</v>
      </c>
      <c r="K136" s="39">
        <f t="shared" si="24"/>
        <v>6612.6494419890532</v>
      </c>
      <c r="L136" s="39">
        <f t="shared" si="25"/>
        <v>6612.6494419890532</v>
      </c>
      <c r="M136" s="39">
        <f t="shared" si="26"/>
        <v>6612.6494419890532</v>
      </c>
      <c r="N136" s="39">
        <f t="shared" si="27"/>
        <v>6612.6494419890532</v>
      </c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>
        <f t="shared" si="21"/>
        <v>46.288546093923365</v>
      </c>
    </row>
    <row r="137" spans="3:38" x14ac:dyDescent="0.3">
      <c r="C137" s="3" t="s">
        <v>106</v>
      </c>
      <c r="D137" s="3">
        <v>2035</v>
      </c>
      <c r="E137" s="3">
        <f t="shared" si="18"/>
        <v>7</v>
      </c>
      <c r="F137" s="39">
        <f t="shared" si="19"/>
        <v>9513</v>
      </c>
      <c r="G137" s="4">
        <v>0</v>
      </c>
      <c r="H137" s="3">
        <f t="shared" si="20"/>
        <v>0</v>
      </c>
      <c r="I137" s="39">
        <f t="shared" si="22"/>
        <v>6612.6494419890532</v>
      </c>
      <c r="J137" s="39">
        <f t="shared" si="23"/>
        <v>13225.298883978106</v>
      </c>
      <c r="K137" s="39">
        <f t="shared" si="24"/>
        <v>6612.6494419890532</v>
      </c>
      <c r="L137" s="39">
        <f t="shared" si="25"/>
        <v>6612.6494419890532</v>
      </c>
      <c r="M137" s="39">
        <f t="shared" si="26"/>
        <v>6612.6494419890532</v>
      </c>
      <c r="N137" s="39">
        <f t="shared" si="27"/>
        <v>6612.6494419890532</v>
      </c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>
        <f t="shared" si="21"/>
        <v>46.288546093923365</v>
      </c>
    </row>
    <row r="138" spans="3:38" x14ac:dyDescent="0.3">
      <c r="C138" s="3" t="s">
        <v>106</v>
      </c>
      <c r="D138" s="3">
        <v>2036</v>
      </c>
      <c r="E138" s="3">
        <f t="shared" si="18"/>
        <v>8</v>
      </c>
      <c r="F138" s="39">
        <f t="shared" si="19"/>
        <v>10872</v>
      </c>
      <c r="G138" s="4">
        <v>1</v>
      </c>
      <c r="H138" s="3">
        <f t="shared" si="20"/>
        <v>1359</v>
      </c>
      <c r="I138" s="39">
        <f t="shared" si="22"/>
        <v>6612.6494419890532</v>
      </c>
      <c r="J138" s="39">
        <f t="shared" si="23"/>
        <v>13225.298883978106</v>
      </c>
      <c r="K138" s="39">
        <f t="shared" si="24"/>
        <v>6612.6494419890532</v>
      </c>
      <c r="L138" s="39">
        <f t="shared" si="25"/>
        <v>6612.6494419890532</v>
      </c>
      <c r="M138" s="39">
        <f t="shared" si="26"/>
        <v>6612.6494419890532</v>
      </c>
      <c r="N138" s="39">
        <f t="shared" si="27"/>
        <v>6612.6494419890532</v>
      </c>
      <c r="O138" s="39">
        <f>$H165*$H$138/1000</f>
        <v>8535.3686127014898</v>
      </c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>
        <f t="shared" si="21"/>
        <v>54.823914706624855</v>
      </c>
    </row>
    <row r="139" spans="3:38" x14ac:dyDescent="0.3">
      <c r="C139" s="3" t="s">
        <v>106</v>
      </c>
      <c r="D139" s="3">
        <v>2037</v>
      </c>
      <c r="E139" s="3">
        <f t="shared" si="18"/>
        <v>9</v>
      </c>
      <c r="F139" s="39">
        <f t="shared" si="19"/>
        <v>12231</v>
      </c>
      <c r="G139" s="4">
        <v>1</v>
      </c>
      <c r="H139" s="3">
        <f t="shared" si="20"/>
        <v>1359</v>
      </c>
      <c r="I139" s="39">
        <f t="shared" si="22"/>
        <v>6612.6494419890532</v>
      </c>
      <c r="J139" s="39">
        <f t="shared" si="23"/>
        <v>13225.298883978106</v>
      </c>
      <c r="K139" s="39">
        <f t="shared" si="24"/>
        <v>6612.6494419890532</v>
      </c>
      <c r="L139" s="39">
        <f t="shared" si="25"/>
        <v>6612.6494419890532</v>
      </c>
      <c r="M139" s="39">
        <f t="shared" si="26"/>
        <v>6612.6494419890532</v>
      </c>
      <c r="N139" s="39">
        <f t="shared" si="27"/>
        <v>6612.6494419890532</v>
      </c>
      <c r="O139" s="39">
        <f t="shared" ref="O139:O152" si="28">H166*$H$138/1000</f>
        <v>8535.3686127014898</v>
      </c>
      <c r="P139" s="39">
        <f>$H165*$H$139/1000</f>
        <v>8535.3686127014898</v>
      </c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>
        <f t="shared" si="21"/>
        <v>63.359283319326344</v>
      </c>
    </row>
    <row r="140" spans="3:38" x14ac:dyDescent="0.3">
      <c r="C140" s="3" t="s">
        <v>106</v>
      </c>
      <c r="D140" s="3">
        <v>2038</v>
      </c>
      <c r="E140" s="3">
        <f t="shared" si="18"/>
        <v>10</v>
      </c>
      <c r="F140" s="39">
        <f t="shared" si="19"/>
        <v>13590</v>
      </c>
      <c r="G140" s="4">
        <v>1</v>
      </c>
      <c r="H140" s="3">
        <f t="shared" si="20"/>
        <v>1359</v>
      </c>
      <c r="I140" s="39">
        <f t="shared" si="22"/>
        <v>6612.6494419890532</v>
      </c>
      <c r="J140" s="39">
        <f t="shared" si="23"/>
        <v>13225.298883978106</v>
      </c>
      <c r="K140" s="39">
        <f t="shared" si="24"/>
        <v>6612.6494419890532</v>
      </c>
      <c r="L140" s="39">
        <f t="shared" si="25"/>
        <v>6612.6494419890532</v>
      </c>
      <c r="M140" s="39">
        <f t="shared" si="26"/>
        <v>6612.6494419890532</v>
      </c>
      <c r="N140" s="39">
        <f t="shared" si="27"/>
        <v>6612.6494419890532</v>
      </c>
      <c r="O140" s="39">
        <f t="shared" si="28"/>
        <v>8535.3686127014898</v>
      </c>
      <c r="P140" s="39">
        <f t="shared" ref="P140:P152" si="29">H166*$H$138/1000</f>
        <v>8535.3686127014898</v>
      </c>
      <c r="Q140" s="39">
        <f t="shared" ref="Q140:Q152" si="30">$H165*$H$140/1000</f>
        <v>8535.3686127014898</v>
      </c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>
        <f t="shared" si="21"/>
        <v>71.894651932027827</v>
      </c>
    </row>
    <row r="141" spans="3:38" x14ac:dyDescent="0.3">
      <c r="C141" s="3" t="s">
        <v>106</v>
      </c>
      <c r="D141" s="3">
        <v>2039</v>
      </c>
      <c r="E141" s="3">
        <f t="shared" si="18"/>
        <v>11</v>
      </c>
      <c r="F141" s="39">
        <f t="shared" si="19"/>
        <v>14949</v>
      </c>
      <c r="G141" s="4">
        <v>1</v>
      </c>
      <c r="H141" s="3">
        <f t="shared" si="20"/>
        <v>1359</v>
      </c>
      <c r="I141" s="39">
        <f t="shared" si="22"/>
        <v>6612.6494419890532</v>
      </c>
      <c r="J141" s="39">
        <f t="shared" si="23"/>
        <v>13225.298883978106</v>
      </c>
      <c r="K141" s="39">
        <f t="shared" si="24"/>
        <v>6612.6494419890532</v>
      </c>
      <c r="L141" s="39">
        <f t="shared" si="25"/>
        <v>6612.6494419890532</v>
      </c>
      <c r="M141" s="39">
        <f t="shared" si="26"/>
        <v>6612.6494419890532</v>
      </c>
      <c r="N141" s="39">
        <f t="shared" si="27"/>
        <v>6612.6494419890532</v>
      </c>
      <c r="O141" s="39">
        <f t="shared" si="28"/>
        <v>8535.3686127014898</v>
      </c>
      <c r="P141" s="39">
        <f t="shared" si="29"/>
        <v>8535.3686127014898</v>
      </c>
      <c r="Q141" s="39">
        <f t="shared" si="30"/>
        <v>8535.3686127014898</v>
      </c>
      <c r="R141" s="39">
        <f t="shared" ref="R141:R152" si="31">$H165*$H$141/1000</f>
        <v>8535.3686127014898</v>
      </c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>
        <f t="shared" si="21"/>
        <v>80.430020544729331</v>
      </c>
    </row>
    <row r="142" spans="3:38" x14ac:dyDescent="0.3">
      <c r="C142" s="3" t="s">
        <v>106</v>
      </c>
      <c r="D142" s="3">
        <v>2040</v>
      </c>
      <c r="E142" s="3">
        <f t="shared" si="18"/>
        <v>11</v>
      </c>
      <c r="F142" s="39">
        <f t="shared" si="19"/>
        <v>14949</v>
      </c>
      <c r="G142" s="4">
        <v>0</v>
      </c>
      <c r="H142" s="3">
        <f t="shared" si="20"/>
        <v>0</v>
      </c>
      <c r="I142" s="39">
        <f t="shared" si="22"/>
        <v>6612.6494419890532</v>
      </c>
      <c r="J142" s="39">
        <f t="shared" si="23"/>
        <v>13225.298883978106</v>
      </c>
      <c r="K142" s="39">
        <f t="shared" si="24"/>
        <v>6612.6494419890532</v>
      </c>
      <c r="L142" s="39">
        <f t="shared" si="25"/>
        <v>6612.6494419890532</v>
      </c>
      <c r="M142" s="39">
        <f t="shared" si="26"/>
        <v>6612.6494419890532</v>
      </c>
      <c r="N142" s="39">
        <f t="shared" si="27"/>
        <v>6612.6494419890532</v>
      </c>
      <c r="O142" s="39">
        <f t="shared" si="28"/>
        <v>8535.3686127014898</v>
      </c>
      <c r="P142" s="39">
        <f t="shared" si="29"/>
        <v>8535.3686127014898</v>
      </c>
      <c r="Q142" s="39">
        <f t="shared" si="30"/>
        <v>8535.3686127014898</v>
      </c>
      <c r="R142" s="39">
        <f t="shared" si="31"/>
        <v>8535.3686127014898</v>
      </c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>
        <f t="shared" si="21"/>
        <v>80.430020544729331</v>
      </c>
    </row>
    <row r="143" spans="3:38" x14ac:dyDescent="0.3">
      <c r="C143" s="3" t="s">
        <v>106</v>
      </c>
      <c r="D143" s="3">
        <v>2041</v>
      </c>
      <c r="E143" s="3">
        <f t="shared" si="18"/>
        <v>12</v>
      </c>
      <c r="F143" s="39">
        <f>E143*1359</f>
        <v>16308</v>
      </c>
      <c r="G143" s="4">
        <v>1</v>
      </c>
      <c r="H143" s="3">
        <f t="shared" si="20"/>
        <v>1359</v>
      </c>
      <c r="I143" s="39">
        <f t="shared" si="22"/>
        <v>6612.6494419890532</v>
      </c>
      <c r="J143" s="39">
        <f t="shared" si="23"/>
        <v>13225.298883978106</v>
      </c>
      <c r="K143" s="39">
        <f t="shared" si="24"/>
        <v>6612.6494419890532</v>
      </c>
      <c r="L143" s="39">
        <f t="shared" si="25"/>
        <v>6612.6494419890532</v>
      </c>
      <c r="M143" s="39">
        <f t="shared" si="26"/>
        <v>6612.6494419890532</v>
      </c>
      <c r="N143" s="39">
        <f t="shared" si="27"/>
        <v>6612.6494419890532</v>
      </c>
      <c r="O143" s="39">
        <f t="shared" si="28"/>
        <v>8535.3686127014898</v>
      </c>
      <c r="P143" s="39">
        <f t="shared" si="29"/>
        <v>8535.3686127014898</v>
      </c>
      <c r="Q143" s="39">
        <f t="shared" si="30"/>
        <v>8535.3686127014898</v>
      </c>
      <c r="R143" s="39">
        <f t="shared" si="31"/>
        <v>8535.3686127014898</v>
      </c>
      <c r="S143" s="39">
        <f t="shared" ref="S143:S152" si="32">$H165*$H$143/1000</f>
        <v>8535.3686127014898</v>
      </c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>
        <f t="shared" si="21"/>
        <v>88.96538915743082</v>
      </c>
    </row>
    <row r="144" spans="3:38" x14ac:dyDescent="0.3">
      <c r="C144" s="3" t="s">
        <v>106</v>
      </c>
      <c r="D144" s="3">
        <v>2042</v>
      </c>
      <c r="E144" s="3">
        <f t="shared" si="18"/>
        <v>13</v>
      </c>
      <c r="F144" s="39">
        <f t="shared" ref="F144:F152" si="33">E144*1359</f>
        <v>17667</v>
      </c>
      <c r="G144" s="4">
        <v>1</v>
      </c>
      <c r="H144" s="3">
        <f t="shared" si="20"/>
        <v>1359</v>
      </c>
      <c r="I144" s="39">
        <f t="shared" si="22"/>
        <v>6612.6494419890532</v>
      </c>
      <c r="J144" s="39">
        <f t="shared" si="23"/>
        <v>13225.298883978106</v>
      </c>
      <c r="K144" s="39">
        <f t="shared" si="24"/>
        <v>6612.6494419890532</v>
      </c>
      <c r="L144" s="39">
        <f t="shared" si="25"/>
        <v>6612.6494419890532</v>
      </c>
      <c r="M144" s="39">
        <f t="shared" si="26"/>
        <v>6612.6494419890532</v>
      </c>
      <c r="N144" s="39">
        <f t="shared" si="27"/>
        <v>6612.6494419890532</v>
      </c>
      <c r="O144" s="39">
        <f t="shared" si="28"/>
        <v>8535.3686127014898</v>
      </c>
      <c r="P144" s="39">
        <f t="shared" si="29"/>
        <v>8535.3686127014898</v>
      </c>
      <c r="Q144" s="39">
        <f t="shared" si="30"/>
        <v>8535.3686127014898</v>
      </c>
      <c r="R144" s="39">
        <f t="shared" si="31"/>
        <v>8535.3686127014898</v>
      </c>
      <c r="S144" s="39">
        <f t="shared" si="32"/>
        <v>8535.3686127014898</v>
      </c>
      <c r="T144" s="39">
        <f t="shared" ref="T144:T152" si="34">$H165*$H$144/1000</f>
        <v>8535.3686127014898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>
        <f t="shared" si="21"/>
        <v>97.50075777013231</v>
      </c>
    </row>
    <row r="145" spans="1:38" x14ac:dyDescent="0.3">
      <c r="C145" s="3" t="s">
        <v>106</v>
      </c>
      <c r="D145" s="3">
        <v>2043</v>
      </c>
      <c r="E145" s="3">
        <f t="shared" si="18"/>
        <v>14</v>
      </c>
      <c r="F145" s="39">
        <f t="shared" si="33"/>
        <v>19026</v>
      </c>
      <c r="G145" s="4">
        <v>1</v>
      </c>
      <c r="H145" s="3">
        <f t="shared" si="20"/>
        <v>1359</v>
      </c>
      <c r="I145" s="39">
        <f t="shared" si="22"/>
        <v>6612.6494419890532</v>
      </c>
      <c r="J145" s="39">
        <f t="shared" si="23"/>
        <v>13225.298883978106</v>
      </c>
      <c r="K145" s="39">
        <f t="shared" si="24"/>
        <v>6612.6494419890532</v>
      </c>
      <c r="L145" s="39">
        <f t="shared" si="25"/>
        <v>6612.6494419890532</v>
      </c>
      <c r="M145" s="39">
        <f t="shared" si="26"/>
        <v>6612.6494419890532</v>
      </c>
      <c r="N145" s="39">
        <f t="shared" si="27"/>
        <v>6612.6494419890532</v>
      </c>
      <c r="O145" s="39">
        <f t="shared" si="28"/>
        <v>8535.3686127014898</v>
      </c>
      <c r="P145" s="39">
        <f t="shared" si="29"/>
        <v>8535.3686127014898</v>
      </c>
      <c r="Q145" s="39">
        <f t="shared" si="30"/>
        <v>8535.3686127014898</v>
      </c>
      <c r="R145" s="39">
        <f t="shared" si="31"/>
        <v>8535.3686127014898</v>
      </c>
      <c r="S145" s="39">
        <f t="shared" si="32"/>
        <v>8535.3686127014898</v>
      </c>
      <c r="T145" s="39">
        <f t="shared" si="34"/>
        <v>8535.3686127014898</v>
      </c>
      <c r="U145" s="39">
        <f>$H165*$H$145/1000</f>
        <v>8535.3686127014898</v>
      </c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>
        <f t="shared" si="21"/>
        <v>106.03612638283381</v>
      </c>
    </row>
    <row r="146" spans="1:38" x14ac:dyDescent="0.3">
      <c r="C146" s="3" t="s">
        <v>106</v>
      </c>
      <c r="D146" s="3">
        <v>2044</v>
      </c>
      <c r="E146" s="3">
        <f t="shared" si="18"/>
        <v>15</v>
      </c>
      <c r="F146" s="39">
        <f t="shared" si="33"/>
        <v>20385</v>
      </c>
      <c r="G146" s="4">
        <v>1</v>
      </c>
      <c r="H146" s="3">
        <f t="shared" si="20"/>
        <v>1359</v>
      </c>
      <c r="I146" s="39">
        <f t="shared" si="22"/>
        <v>6612.6494419890532</v>
      </c>
      <c r="J146" s="39">
        <f t="shared" si="23"/>
        <v>13225.298883978106</v>
      </c>
      <c r="K146" s="39">
        <f t="shared" si="24"/>
        <v>6612.6494419890532</v>
      </c>
      <c r="L146" s="39">
        <f t="shared" si="25"/>
        <v>6612.6494419890532</v>
      </c>
      <c r="M146" s="39">
        <f t="shared" si="26"/>
        <v>6612.6494419890532</v>
      </c>
      <c r="N146" s="39">
        <f t="shared" si="27"/>
        <v>6612.6494419890532</v>
      </c>
      <c r="O146" s="39">
        <f t="shared" si="28"/>
        <v>8535.3686127014898</v>
      </c>
      <c r="P146" s="39">
        <f t="shared" si="29"/>
        <v>8535.3686127014898</v>
      </c>
      <c r="Q146" s="39">
        <f t="shared" si="30"/>
        <v>8535.3686127014898</v>
      </c>
      <c r="R146" s="39">
        <f t="shared" si="31"/>
        <v>8535.3686127014898</v>
      </c>
      <c r="S146" s="39">
        <f t="shared" si="32"/>
        <v>8535.3686127014898</v>
      </c>
      <c r="T146" s="39">
        <f t="shared" si="34"/>
        <v>8535.3686127014898</v>
      </c>
      <c r="U146" s="39">
        <f t="shared" ref="U146:U152" si="35">$H166*$H$145/1000</f>
        <v>8535.3686127014898</v>
      </c>
      <c r="V146" s="39">
        <f>$H165*$H$146/1000</f>
        <v>8535.3686127014898</v>
      </c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>
        <f t="shared" si="21"/>
        <v>114.5714949955353</v>
      </c>
    </row>
    <row r="147" spans="1:38" x14ac:dyDescent="0.3">
      <c r="C147" s="3" t="s">
        <v>106</v>
      </c>
      <c r="D147" s="3">
        <v>2045</v>
      </c>
      <c r="E147" s="3">
        <f t="shared" si="18"/>
        <v>15</v>
      </c>
      <c r="F147" s="39">
        <f t="shared" si="33"/>
        <v>20385</v>
      </c>
      <c r="G147" s="4">
        <v>0</v>
      </c>
      <c r="H147" s="3">
        <f t="shared" si="20"/>
        <v>0</v>
      </c>
      <c r="I147" s="39">
        <f t="shared" si="22"/>
        <v>6612.6494419890532</v>
      </c>
      <c r="J147" s="39">
        <f t="shared" si="23"/>
        <v>13225.298883978106</v>
      </c>
      <c r="K147" s="39">
        <f t="shared" si="24"/>
        <v>6612.6494419890532</v>
      </c>
      <c r="L147" s="39">
        <f t="shared" si="25"/>
        <v>6612.6494419890532</v>
      </c>
      <c r="M147" s="39">
        <f t="shared" si="26"/>
        <v>6612.6494419890532</v>
      </c>
      <c r="N147" s="39">
        <f t="shared" si="27"/>
        <v>6612.6494419890532</v>
      </c>
      <c r="O147" s="39">
        <f t="shared" si="28"/>
        <v>8535.3686127014898</v>
      </c>
      <c r="P147" s="39">
        <f t="shared" si="29"/>
        <v>8535.3686127014898</v>
      </c>
      <c r="Q147" s="39">
        <f t="shared" si="30"/>
        <v>8535.3686127014898</v>
      </c>
      <c r="R147" s="39">
        <f t="shared" si="31"/>
        <v>8535.3686127014898</v>
      </c>
      <c r="S147" s="39">
        <f t="shared" si="32"/>
        <v>8535.3686127014898</v>
      </c>
      <c r="T147" s="39">
        <f t="shared" si="34"/>
        <v>8535.3686127014898</v>
      </c>
      <c r="U147" s="39">
        <f t="shared" si="35"/>
        <v>8535.3686127014898</v>
      </c>
      <c r="V147" s="39">
        <f t="shared" ref="V147:V152" si="36">$H166*$H$146/1000</f>
        <v>8535.3686127014898</v>
      </c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>
        <f t="shared" si="21"/>
        <v>114.5714949955353</v>
      </c>
    </row>
    <row r="148" spans="1:38" x14ac:dyDescent="0.3">
      <c r="C148" s="3" t="s">
        <v>106</v>
      </c>
      <c r="D148" s="3">
        <v>2046</v>
      </c>
      <c r="E148" s="3">
        <f t="shared" si="18"/>
        <v>16</v>
      </c>
      <c r="F148" s="39">
        <f t="shared" si="33"/>
        <v>21744</v>
      </c>
      <c r="G148" s="4">
        <v>1</v>
      </c>
      <c r="H148" s="3">
        <f t="shared" si="20"/>
        <v>1359</v>
      </c>
      <c r="I148" s="39">
        <f t="shared" si="22"/>
        <v>6612.6494419890532</v>
      </c>
      <c r="J148" s="39">
        <f t="shared" si="23"/>
        <v>13225.298883978106</v>
      </c>
      <c r="K148" s="39">
        <f t="shared" si="24"/>
        <v>6612.6494419890532</v>
      </c>
      <c r="L148" s="39">
        <f t="shared" si="25"/>
        <v>6612.6494419890532</v>
      </c>
      <c r="M148" s="39">
        <f t="shared" si="26"/>
        <v>6612.6494419890532</v>
      </c>
      <c r="N148" s="39">
        <f t="shared" si="27"/>
        <v>6612.6494419890532</v>
      </c>
      <c r="O148" s="39">
        <f t="shared" si="28"/>
        <v>8535.3686127014898</v>
      </c>
      <c r="P148" s="39">
        <f t="shared" si="29"/>
        <v>8535.3686127014898</v>
      </c>
      <c r="Q148" s="39">
        <f t="shared" si="30"/>
        <v>8535.3686127014898</v>
      </c>
      <c r="R148" s="39">
        <f t="shared" si="31"/>
        <v>8535.3686127014898</v>
      </c>
      <c r="S148" s="39">
        <f t="shared" si="32"/>
        <v>8535.3686127014898</v>
      </c>
      <c r="T148" s="39">
        <f t="shared" si="34"/>
        <v>8535.3686127014898</v>
      </c>
      <c r="U148" s="39">
        <f t="shared" si="35"/>
        <v>8535.3686127014898</v>
      </c>
      <c r="V148" s="39">
        <f t="shared" si="36"/>
        <v>8535.3686127014898</v>
      </c>
      <c r="W148" s="39">
        <f>$H165*$H$148/1000</f>
        <v>8535.3686127014898</v>
      </c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>
        <f t="shared" si="21"/>
        <v>123.10686360823681</v>
      </c>
    </row>
    <row r="149" spans="1:38" x14ac:dyDescent="0.3">
      <c r="C149" s="3" t="s">
        <v>106</v>
      </c>
      <c r="D149" s="3">
        <v>2047</v>
      </c>
      <c r="E149" s="3">
        <f t="shared" si="18"/>
        <v>17</v>
      </c>
      <c r="F149" s="39">
        <f t="shared" si="33"/>
        <v>23103</v>
      </c>
      <c r="G149" s="4">
        <v>1</v>
      </c>
      <c r="H149" s="3">
        <f t="shared" si="20"/>
        <v>1359</v>
      </c>
      <c r="I149" s="39">
        <f t="shared" si="22"/>
        <v>6612.6494419890532</v>
      </c>
      <c r="J149" s="39">
        <f t="shared" si="23"/>
        <v>13225.298883978106</v>
      </c>
      <c r="K149" s="39">
        <f t="shared" si="24"/>
        <v>6612.6494419890532</v>
      </c>
      <c r="L149" s="39">
        <f t="shared" si="25"/>
        <v>6612.6494419890532</v>
      </c>
      <c r="M149" s="39">
        <f t="shared" si="26"/>
        <v>6612.6494419890532</v>
      </c>
      <c r="N149" s="39">
        <f t="shared" si="27"/>
        <v>6612.6494419890532</v>
      </c>
      <c r="O149" s="39">
        <f t="shared" si="28"/>
        <v>8535.3686127014898</v>
      </c>
      <c r="P149" s="39">
        <f t="shared" si="29"/>
        <v>8535.3686127014898</v>
      </c>
      <c r="Q149" s="39">
        <f t="shared" si="30"/>
        <v>8535.3686127014898</v>
      </c>
      <c r="R149" s="39">
        <f t="shared" si="31"/>
        <v>8535.3686127014898</v>
      </c>
      <c r="S149" s="39">
        <f t="shared" si="32"/>
        <v>8535.3686127014898</v>
      </c>
      <c r="T149" s="39">
        <f t="shared" si="34"/>
        <v>8535.3686127014898</v>
      </c>
      <c r="U149" s="39">
        <f t="shared" si="35"/>
        <v>8535.3686127014898</v>
      </c>
      <c r="V149" s="39">
        <f t="shared" si="36"/>
        <v>8535.3686127014898</v>
      </c>
      <c r="W149" s="39">
        <f t="shared" ref="W149:W152" si="37">$H166*$H$148/1000</f>
        <v>8535.3686127014898</v>
      </c>
      <c r="X149" s="39">
        <f>$H165*$H$149/1000</f>
        <v>8535.3686127014898</v>
      </c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>
        <f t="shared" si="21"/>
        <v>131.6422322209383</v>
      </c>
    </row>
    <row r="150" spans="1:38" x14ac:dyDescent="0.3">
      <c r="C150" s="3" t="s">
        <v>106</v>
      </c>
      <c r="D150" s="3">
        <v>2048</v>
      </c>
      <c r="E150" s="3">
        <f t="shared" si="18"/>
        <v>18</v>
      </c>
      <c r="F150" s="39">
        <f t="shared" si="33"/>
        <v>24462</v>
      </c>
      <c r="G150" s="4">
        <v>1</v>
      </c>
      <c r="H150" s="3">
        <f t="shared" si="20"/>
        <v>1359</v>
      </c>
      <c r="I150" s="39">
        <f t="shared" si="22"/>
        <v>6612.6494419890532</v>
      </c>
      <c r="J150" s="39">
        <f t="shared" si="23"/>
        <v>13225.298883978106</v>
      </c>
      <c r="K150" s="39">
        <f t="shared" si="24"/>
        <v>6612.6494419890532</v>
      </c>
      <c r="L150" s="39">
        <f t="shared" si="25"/>
        <v>6612.6494419890532</v>
      </c>
      <c r="M150" s="39">
        <f t="shared" si="26"/>
        <v>6612.6494419890532</v>
      </c>
      <c r="N150" s="39">
        <f t="shared" si="27"/>
        <v>6612.6494419890532</v>
      </c>
      <c r="O150" s="39">
        <f t="shared" si="28"/>
        <v>8535.3686127014898</v>
      </c>
      <c r="P150" s="39">
        <f t="shared" si="29"/>
        <v>8535.3686127014898</v>
      </c>
      <c r="Q150" s="39">
        <f t="shared" si="30"/>
        <v>8535.3686127014898</v>
      </c>
      <c r="R150" s="39">
        <f t="shared" si="31"/>
        <v>8535.3686127014898</v>
      </c>
      <c r="S150" s="39">
        <f t="shared" si="32"/>
        <v>8535.3686127014898</v>
      </c>
      <c r="T150" s="39">
        <f t="shared" si="34"/>
        <v>8535.3686127014898</v>
      </c>
      <c r="U150" s="39">
        <f t="shared" si="35"/>
        <v>8535.3686127014898</v>
      </c>
      <c r="V150" s="39">
        <f t="shared" si="36"/>
        <v>8535.3686127014898</v>
      </c>
      <c r="W150" s="39">
        <f t="shared" si="37"/>
        <v>8535.3686127014898</v>
      </c>
      <c r="X150" s="39">
        <f t="shared" ref="X150:X152" si="38">$H166*$H$149/1000</f>
        <v>8535.3686127014898</v>
      </c>
      <c r="Y150" s="39">
        <f>$H165*$H$150/1000</f>
        <v>8535.3686127014898</v>
      </c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>
        <f t="shared" si="21"/>
        <v>140.17760083363976</v>
      </c>
    </row>
    <row r="151" spans="1:38" x14ac:dyDescent="0.3">
      <c r="C151" s="3" t="s">
        <v>106</v>
      </c>
      <c r="D151" s="3">
        <v>2049</v>
      </c>
      <c r="E151" s="3">
        <f t="shared" si="18"/>
        <v>19</v>
      </c>
      <c r="F151" s="39">
        <f t="shared" si="33"/>
        <v>25821</v>
      </c>
      <c r="G151" s="4">
        <v>1</v>
      </c>
      <c r="H151" s="3">
        <f t="shared" si="20"/>
        <v>1359</v>
      </c>
      <c r="I151" s="39">
        <f t="shared" si="22"/>
        <v>6612.6494419890532</v>
      </c>
      <c r="J151" s="39">
        <f t="shared" si="23"/>
        <v>13225.298883978106</v>
      </c>
      <c r="K151" s="39">
        <f t="shared" si="24"/>
        <v>6612.6494419890532</v>
      </c>
      <c r="L151" s="39">
        <f t="shared" si="25"/>
        <v>6612.6494419890532</v>
      </c>
      <c r="M151" s="39">
        <f t="shared" si="26"/>
        <v>6612.6494419890532</v>
      </c>
      <c r="N151" s="39">
        <f t="shared" si="27"/>
        <v>6612.6494419890532</v>
      </c>
      <c r="O151" s="39">
        <f t="shared" si="28"/>
        <v>8535.3686127014898</v>
      </c>
      <c r="P151" s="39">
        <f t="shared" si="29"/>
        <v>8535.3686127014898</v>
      </c>
      <c r="Q151" s="39">
        <f t="shared" si="30"/>
        <v>8535.3686127014898</v>
      </c>
      <c r="R151" s="39">
        <f t="shared" si="31"/>
        <v>8535.3686127014898</v>
      </c>
      <c r="S151" s="39">
        <f t="shared" si="32"/>
        <v>8535.3686127014898</v>
      </c>
      <c r="T151" s="39">
        <f t="shared" si="34"/>
        <v>8535.3686127014898</v>
      </c>
      <c r="U151" s="39">
        <f t="shared" si="35"/>
        <v>8535.3686127014898</v>
      </c>
      <c r="V151" s="39">
        <f t="shared" si="36"/>
        <v>8535.3686127014898</v>
      </c>
      <c r="W151" s="39">
        <f t="shared" si="37"/>
        <v>8535.3686127014898</v>
      </c>
      <c r="X151" s="39">
        <f t="shared" si="38"/>
        <v>8535.3686127014898</v>
      </c>
      <c r="Y151" s="39">
        <f t="shared" ref="Y151:Y152" si="39">$H166*$H$150/1000</f>
        <v>8535.3686127014898</v>
      </c>
      <c r="Z151" s="39">
        <f>$H165*$H$151/1000</f>
        <v>8535.3686127014898</v>
      </c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>
        <f t="shared" si="21"/>
        <v>148.71296944634125</v>
      </c>
    </row>
    <row r="152" spans="1:38" x14ac:dyDescent="0.3">
      <c r="C152" s="3" t="s">
        <v>106</v>
      </c>
      <c r="D152" s="3">
        <v>2050</v>
      </c>
      <c r="E152" s="3">
        <f t="shared" si="18"/>
        <v>19</v>
      </c>
      <c r="F152" s="39">
        <f t="shared" si="33"/>
        <v>25821</v>
      </c>
      <c r="G152" s="4">
        <v>0</v>
      </c>
      <c r="H152" s="3">
        <f t="shared" si="20"/>
        <v>0</v>
      </c>
      <c r="I152" s="39">
        <f t="shared" si="22"/>
        <v>6612.6494419890532</v>
      </c>
      <c r="J152" s="39">
        <f t="shared" si="23"/>
        <v>13225.298883978106</v>
      </c>
      <c r="K152" s="39">
        <f t="shared" si="24"/>
        <v>6612.6494419890532</v>
      </c>
      <c r="L152" s="39">
        <f t="shared" si="25"/>
        <v>6612.6494419890532</v>
      </c>
      <c r="M152" s="39">
        <f t="shared" si="26"/>
        <v>6612.6494419890532</v>
      </c>
      <c r="N152" s="39">
        <f t="shared" si="27"/>
        <v>6612.6494419890532</v>
      </c>
      <c r="O152" s="39">
        <f t="shared" si="28"/>
        <v>8535.3686127014898</v>
      </c>
      <c r="P152" s="39">
        <f t="shared" si="29"/>
        <v>8535.3686127014898</v>
      </c>
      <c r="Q152" s="39">
        <f t="shared" si="30"/>
        <v>8535.3686127014898</v>
      </c>
      <c r="R152" s="39">
        <f t="shared" si="31"/>
        <v>8535.3686127014898</v>
      </c>
      <c r="S152" s="39">
        <f t="shared" si="32"/>
        <v>8535.3686127014898</v>
      </c>
      <c r="T152" s="39">
        <f t="shared" si="34"/>
        <v>8535.3686127014898</v>
      </c>
      <c r="U152" s="39">
        <f t="shared" si="35"/>
        <v>8535.3686127014898</v>
      </c>
      <c r="V152" s="39">
        <f t="shared" si="36"/>
        <v>8535.3686127014898</v>
      </c>
      <c r="W152" s="39">
        <f t="shared" si="37"/>
        <v>8535.3686127014898</v>
      </c>
      <c r="X152" s="39">
        <f t="shared" si="38"/>
        <v>8535.3686127014898</v>
      </c>
      <c r="Y152" s="39">
        <f t="shared" si="39"/>
        <v>8535.3686127014898</v>
      </c>
      <c r="Z152" s="39">
        <f t="shared" ref="Z152" si="40">$H166*$H$151/1000</f>
        <v>8535.3686127014898</v>
      </c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>
        <f t="shared" si="21"/>
        <v>148.71296944634125</v>
      </c>
    </row>
    <row r="153" spans="1:38" x14ac:dyDescent="0.3"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</row>
    <row r="154" spans="1:38" x14ac:dyDescent="0.3">
      <c r="G154" s="39">
        <f>NPV($C$158,G159:G224)+G158</f>
        <v>47315.893055006258</v>
      </c>
      <c r="H154" s="39">
        <f>NPV($C$158,H159:H224)+H158</f>
        <v>47311.853104113768</v>
      </c>
    </row>
    <row r="155" spans="1:38" x14ac:dyDescent="0.3">
      <c r="C155" s="41" t="s">
        <v>119</v>
      </c>
      <c r="G155" s="39"/>
      <c r="H155" s="39"/>
    </row>
    <row r="156" spans="1:38" ht="43.2" x14ac:dyDescent="0.3">
      <c r="D156" s="43" t="s">
        <v>114</v>
      </c>
      <c r="E156" s="43" t="s">
        <v>114</v>
      </c>
      <c r="F156" s="43" t="s">
        <v>117</v>
      </c>
      <c r="G156" s="43" t="s">
        <v>108</v>
      </c>
      <c r="H156" s="43"/>
    </row>
    <row r="157" spans="1:38" x14ac:dyDescent="0.3">
      <c r="D157" s="43" t="s">
        <v>115</v>
      </c>
      <c r="E157" s="43" t="s">
        <v>107</v>
      </c>
      <c r="F157" s="43" t="s">
        <v>116</v>
      </c>
      <c r="G157" s="43"/>
      <c r="H157" s="43"/>
    </row>
    <row r="158" spans="1:38" x14ac:dyDescent="0.3">
      <c r="A158" s="3">
        <v>-7</v>
      </c>
      <c r="B158" s="3" t="s">
        <v>109</v>
      </c>
      <c r="C158" s="108">
        <v>8.2000000000000003E-2</v>
      </c>
      <c r="D158" s="109">
        <v>0.05</v>
      </c>
      <c r="E158" s="39">
        <f>D158*$C$160</f>
        <v>2940.7407942238269</v>
      </c>
      <c r="F158" s="39">
        <f>PMT($C$158,$C$159,-E158)</f>
        <v>243.29100228068626</v>
      </c>
      <c r="G158" s="39">
        <f t="shared" ref="G158:G189" si="41">G157+F158</f>
        <v>243.29100228068626</v>
      </c>
      <c r="H158" s="3">
        <v>0</v>
      </c>
      <c r="I158" s="39"/>
    </row>
    <row r="159" spans="1:38" x14ac:dyDescent="0.3">
      <c r="A159" s="3">
        <v>-6</v>
      </c>
      <c r="B159" s="3" t="s">
        <v>110</v>
      </c>
      <c r="C159" s="4">
        <v>60</v>
      </c>
      <c r="D159" s="109">
        <v>0.05</v>
      </c>
      <c r="E159" s="39">
        <f t="shared" ref="E159:E165" si="42">D159*$C$160</f>
        <v>2940.7407942238269</v>
      </c>
      <c r="F159" s="39">
        <f t="shared" ref="F159:F165" si="43">PMT($C$158,$C$159,-E159)</f>
        <v>243.29100228068626</v>
      </c>
      <c r="G159" s="39">
        <f t="shared" si="41"/>
        <v>486.58200456137251</v>
      </c>
      <c r="H159" s="3">
        <v>0</v>
      </c>
    </row>
    <row r="160" spans="1:38" x14ac:dyDescent="0.3">
      <c r="A160" s="3">
        <v>-5</v>
      </c>
      <c r="B160" s="3" t="s">
        <v>107</v>
      </c>
      <c r="C160" s="102">
        <v>58814.815884476535</v>
      </c>
      <c r="D160" s="109">
        <v>0.15</v>
      </c>
      <c r="E160" s="39">
        <f t="shared" si="42"/>
        <v>8822.2223826714799</v>
      </c>
      <c r="F160" s="39">
        <f t="shared" si="43"/>
        <v>729.87300684205877</v>
      </c>
      <c r="G160" s="39">
        <f t="shared" si="41"/>
        <v>1216.4550114034314</v>
      </c>
      <c r="H160" s="3">
        <v>0</v>
      </c>
    </row>
    <row r="161" spans="1:9" x14ac:dyDescent="0.3">
      <c r="A161" s="3">
        <v>-4</v>
      </c>
      <c r="D161" s="109">
        <v>0.15</v>
      </c>
      <c r="E161" s="39">
        <f t="shared" si="42"/>
        <v>8822.2223826714799</v>
      </c>
      <c r="F161" s="39">
        <f t="shared" si="43"/>
        <v>729.87300684205877</v>
      </c>
      <c r="G161" s="39">
        <f t="shared" si="41"/>
        <v>1946.3280182454901</v>
      </c>
      <c r="H161" s="3">
        <v>0</v>
      </c>
    </row>
    <row r="162" spans="1:9" x14ac:dyDescent="0.3">
      <c r="A162" s="3">
        <v>-3</v>
      </c>
      <c r="D162" s="109">
        <v>0.2</v>
      </c>
      <c r="E162" s="39">
        <f t="shared" si="42"/>
        <v>11762.963176895308</v>
      </c>
      <c r="F162" s="39">
        <f t="shared" si="43"/>
        <v>973.16400912274503</v>
      </c>
      <c r="G162" s="39">
        <f t="shared" si="41"/>
        <v>2919.4920273682351</v>
      </c>
      <c r="H162" s="3">
        <v>0</v>
      </c>
    </row>
    <row r="163" spans="1:9" x14ac:dyDescent="0.3">
      <c r="A163" s="3">
        <v>-2</v>
      </c>
      <c r="D163" s="109">
        <v>0.2</v>
      </c>
      <c r="E163" s="39">
        <f t="shared" si="42"/>
        <v>11762.963176895308</v>
      </c>
      <c r="F163" s="39">
        <f t="shared" si="43"/>
        <v>973.16400912274503</v>
      </c>
      <c r="G163" s="39">
        <f t="shared" si="41"/>
        <v>3892.6560364909801</v>
      </c>
      <c r="H163" s="3">
        <v>0</v>
      </c>
    </row>
    <row r="164" spans="1:9" x14ac:dyDescent="0.3">
      <c r="A164" s="3">
        <v>-1</v>
      </c>
      <c r="D164" s="109">
        <v>0.1</v>
      </c>
      <c r="E164" s="39">
        <f t="shared" si="42"/>
        <v>5881.4815884476538</v>
      </c>
      <c r="F164" s="39">
        <f t="shared" si="43"/>
        <v>486.58200456137251</v>
      </c>
      <c r="G164" s="39">
        <f t="shared" si="41"/>
        <v>4379.2380410523529</v>
      </c>
      <c r="H164" s="3">
        <v>0</v>
      </c>
    </row>
    <row r="165" spans="1:9" x14ac:dyDescent="0.3">
      <c r="A165" s="3">
        <v>0</v>
      </c>
      <c r="D165" s="109">
        <v>0.1</v>
      </c>
      <c r="E165" s="39">
        <f t="shared" si="42"/>
        <v>5881.4815884476538</v>
      </c>
      <c r="F165" s="39">
        <f t="shared" si="43"/>
        <v>486.58200456137251</v>
      </c>
      <c r="G165" s="39">
        <f t="shared" si="41"/>
        <v>4865.8200456137256</v>
      </c>
      <c r="H165" s="39">
        <v>6280.6244390739439</v>
      </c>
      <c r="I165" s="110"/>
    </row>
    <row r="166" spans="1:9" x14ac:dyDescent="0.3">
      <c r="A166" s="3">
        <v>1</v>
      </c>
      <c r="G166" s="39">
        <f t="shared" si="41"/>
        <v>4865.8200456137256</v>
      </c>
      <c r="H166" s="39">
        <v>6280.6244390739439</v>
      </c>
    </row>
    <row r="167" spans="1:9" x14ac:dyDescent="0.3">
      <c r="A167" s="3">
        <v>2</v>
      </c>
      <c r="G167" s="39">
        <f t="shared" si="41"/>
        <v>4865.8200456137256</v>
      </c>
      <c r="H167" s="39">
        <v>6280.6244390739439</v>
      </c>
    </row>
    <row r="168" spans="1:9" x14ac:dyDescent="0.3">
      <c r="A168" s="3">
        <v>3</v>
      </c>
      <c r="G168" s="39">
        <f t="shared" si="41"/>
        <v>4865.8200456137256</v>
      </c>
      <c r="H168" s="39">
        <v>6280.6244390739439</v>
      </c>
    </row>
    <row r="169" spans="1:9" x14ac:dyDescent="0.3">
      <c r="A169" s="3">
        <v>4</v>
      </c>
      <c r="G169" s="39">
        <f t="shared" si="41"/>
        <v>4865.8200456137256</v>
      </c>
      <c r="H169" s="39">
        <v>6280.6244390739439</v>
      </c>
    </row>
    <row r="170" spans="1:9" x14ac:dyDescent="0.3">
      <c r="A170" s="3">
        <v>5</v>
      </c>
      <c r="G170" s="39">
        <f t="shared" si="41"/>
        <v>4865.8200456137256</v>
      </c>
      <c r="H170" s="39">
        <v>6280.6244390739439</v>
      </c>
    </row>
    <row r="171" spans="1:9" x14ac:dyDescent="0.3">
      <c r="A171" s="3">
        <v>6</v>
      </c>
      <c r="G171" s="39">
        <f t="shared" si="41"/>
        <v>4865.8200456137256</v>
      </c>
      <c r="H171" s="39">
        <v>6280.6244390739439</v>
      </c>
    </row>
    <row r="172" spans="1:9" x14ac:dyDescent="0.3">
      <c r="A172" s="3">
        <v>7</v>
      </c>
      <c r="G172" s="39">
        <f t="shared" si="41"/>
        <v>4865.8200456137256</v>
      </c>
      <c r="H172" s="39">
        <v>6280.6244390739439</v>
      </c>
    </row>
    <row r="173" spans="1:9" x14ac:dyDescent="0.3">
      <c r="A173" s="3">
        <v>8</v>
      </c>
      <c r="G173" s="39">
        <f t="shared" si="41"/>
        <v>4865.8200456137256</v>
      </c>
      <c r="H173" s="39">
        <v>6280.6244390739439</v>
      </c>
    </row>
    <row r="174" spans="1:9" x14ac:dyDescent="0.3">
      <c r="A174" s="3">
        <v>9</v>
      </c>
      <c r="G174" s="39">
        <f t="shared" si="41"/>
        <v>4865.8200456137256</v>
      </c>
      <c r="H174" s="39">
        <v>6280.6244390739439</v>
      </c>
    </row>
    <row r="175" spans="1:9" x14ac:dyDescent="0.3">
      <c r="A175" s="3">
        <v>10</v>
      </c>
      <c r="G175" s="39">
        <f t="shared" si="41"/>
        <v>4865.8200456137256</v>
      </c>
      <c r="H175" s="39">
        <v>6280.6244390739439</v>
      </c>
    </row>
    <row r="176" spans="1:9" x14ac:dyDescent="0.3">
      <c r="A176" s="3">
        <v>11</v>
      </c>
      <c r="G176" s="39">
        <f t="shared" si="41"/>
        <v>4865.8200456137256</v>
      </c>
      <c r="H176" s="39">
        <v>6280.6244390739439</v>
      </c>
    </row>
    <row r="177" spans="1:8" x14ac:dyDescent="0.3">
      <c r="A177" s="3">
        <v>12</v>
      </c>
      <c r="G177" s="39">
        <f t="shared" si="41"/>
        <v>4865.8200456137256</v>
      </c>
      <c r="H177" s="39">
        <v>6280.6244390739439</v>
      </c>
    </row>
    <row r="178" spans="1:8" x14ac:dyDescent="0.3">
      <c r="A178" s="3">
        <v>13</v>
      </c>
      <c r="G178" s="39">
        <f t="shared" si="41"/>
        <v>4865.8200456137256</v>
      </c>
      <c r="H178" s="39">
        <v>6280.6244390739439</v>
      </c>
    </row>
    <row r="179" spans="1:8" x14ac:dyDescent="0.3">
      <c r="A179" s="3">
        <v>14</v>
      </c>
      <c r="G179" s="39">
        <f t="shared" si="41"/>
        <v>4865.8200456137256</v>
      </c>
      <c r="H179" s="39">
        <v>6280.6244390739439</v>
      </c>
    </row>
    <row r="180" spans="1:8" x14ac:dyDescent="0.3">
      <c r="A180" s="3">
        <v>15</v>
      </c>
      <c r="G180" s="39">
        <f t="shared" si="41"/>
        <v>4865.8200456137256</v>
      </c>
      <c r="H180" s="39">
        <v>6280.6244390739439</v>
      </c>
    </row>
    <row r="181" spans="1:8" x14ac:dyDescent="0.3">
      <c r="A181" s="3">
        <v>16</v>
      </c>
      <c r="G181" s="39">
        <f t="shared" si="41"/>
        <v>4865.8200456137256</v>
      </c>
      <c r="H181" s="39">
        <v>6280.6244390739439</v>
      </c>
    </row>
    <row r="182" spans="1:8" x14ac:dyDescent="0.3">
      <c r="A182" s="3">
        <v>17</v>
      </c>
      <c r="G182" s="39">
        <f t="shared" si="41"/>
        <v>4865.8200456137256</v>
      </c>
      <c r="H182" s="39">
        <v>6280.6244390739439</v>
      </c>
    </row>
    <row r="183" spans="1:8" x14ac:dyDescent="0.3">
      <c r="A183" s="3">
        <v>18</v>
      </c>
      <c r="G183" s="39">
        <f t="shared" si="41"/>
        <v>4865.8200456137256</v>
      </c>
      <c r="H183" s="39">
        <v>6280.6244390739439</v>
      </c>
    </row>
    <row r="184" spans="1:8" x14ac:dyDescent="0.3">
      <c r="A184" s="3">
        <v>19</v>
      </c>
      <c r="G184" s="39">
        <f t="shared" si="41"/>
        <v>4865.8200456137256</v>
      </c>
      <c r="H184" s="39">
        <v>6280.6244390739439</v>
      </c>
    </row>
    <row r="185" spans="1:8" x14ac:dyDescent="0.3">
      <c r="A185" s="3">
        <v>20</v>
      </c>
      <c r="G185" s="39">
        <f t="shared" si="41"/>
        <v>4865.8200456137256</v>
      </c>
      <c r="H185" s="39">
        <v>6280.6244390739439</v>
      </c>
    </row>
    <row r="186" spans="1:8" x14ac:dyDescent="0.3">
      <c r="A186" s="3">
        <v>21</v>
      </c>
      <c r="G186" s="39">
        <f t="shared" si="41"/>
        <v>4865.8200456137256</v>
      </c>
      <c r="H186" s="39">
        <v>6280.6244390739439</v>
      </c>
    </row>
    <row r="187" spans="1:8" x14ac:dyDescent="0.3">
      <c r="A187" s="3">
        <v>22</v>
      </c>
      <c r="G187" s="39">
        <f t="shared" si="41"/>
        <v>4865.8200456137256</v>
      </c>
      <c r="H187" s="39">
        <v>6280.6244390739439</v>
      </c>
    </row>
    <row r="188" spans="1:8" x14ac:dyDescent="0.3">
      <c r="A188" s="3">
        <v>23</v>
      </c>
      <c r="G188" s="39">
        <f t="shared" si="41"/>
        <v>4865.8200456137256</v>
      </c>
      <c r="H188" s="39">
        <v>6280.6244390739439</v>
      </c>
    </row>
    <row r="189" spans="1:8" x14ac:dyDescent="0.3">
      <c r="A189" s="3">
        <v>24</v>
      </c>
      <c r="G189" s="39">
        <f t="shared" si="41"/>
        <v>4865.8200456137256</v>
      </c>
      <c r="H189" s="39">
        <v>6280.6244390739439</v>
      </c>
    </row>
    <row r="190" spans="1:8" x14ac:dyDescent="0.3">
      <c r="A190" s="3">
        <v>25</v>
      </c>
      <c r="G190" s="39">
        <f t="shared" ref="G190:G217" si="44">G189+F190</f>
        <v>4865.8200456137256</v>
      </c>
      <c r="H190" s="39">
        <v>6280.6244390739439</v>
      </c>
    </row>
    <row r="191" spans="1:8" x14ac:dyDescent="0.3">
      <c r="A191" s="3">
        <v>26</v>
      </c>
      <c r="G191" s="39">
        <f t="shared" si="44"/>
        <v>4865.8200456137256</v>
      </c>
      <c r="H191" s="39">
        <v>6280.6244390739439</v>
      </c>
    </row>
    <row r="192" spans="1:8" x14ac:dyDescent="0.3">
      <c r="A192" s="3">
        <v>27</v>
      </c>
      <c r="G192" s="39">
        <f t="shared" si="44"/>
        <v>4865.8200456137256</v>
      </c>
      <c r="H192" s="39">
        <v>6280.6244390739439</v>
      </c>
    </row>
    <row r="193" spans="1:8" x14ac:dyDescent="0.3">
      <c r="A193" s="3">
        <v>28</v>
      </c>
      <c r="G193" s="39">
        <f t="shared" si="44"/>
        <v>4865.8200456137256</v>
      </c>
      <c r="H193" s="39">
        <v>6280.6244390739439</v>
      </c>
    </row>
    <row r="194" spans="1:8" x14ac:dyDescent="0.3">
      <c r="A194" s="3">
        <v>29</v>
      </c>
      <c r="G194" s="39">
        <f t="shared" si="44"/>
        <v>4865.8200456137256</v>
      </c>
      <c r="H194" s="39">
        <v>6280.6244390739439</v>
      </c>
    </row>
    <row r="195" spans="1:8" x14ac:dyDescent="0.3">
      <c r="A195" s="3">
        <v>30</v>
      </c>
      <c r="G195" s="39">
        <f t="shared" si="44"/>
        <v>4865.8200456137256</v>
      </c>
      <c r="H195" s="39">
        <v>6280.6244390739439</v>
      </c>
    </row>
    <row r="196" spans="1:8" x14ac:dyDescent="0.3">
      <c r="A196" s="3">
        <v>31</v>
      </c>
      <c r="G196" s="39">
        <f t="shared" si="44"/>
        <v>4865.8200456137256</v>
      </c>
      <c r="H196" s="39">
        <v>6280.6244390739439</v>
      </c>
    </row>
    <row r="197" spans="1:8" x14ac:dyDescent="0.3">
      <c r="A197" s="3">
        <v>32</v>
      </c>
      <c r="G197" s="39">
        <f t="shared" si="44"/>
        <v>4865.8200456137256</v>
      </c>
      <c r="H197" s="39">
        <v>6280.6244390739439</v>
      </c>
    </row>
    <row r="198" spans="1:8" x14ac:dyDescent="0.3">
      <c r="A198" s="3">
        <v>33</v>
      </c>
      <c r="G198" s="39">
        <f t="shared" si="44"/>
        <v>4865.8200456137256</v>
      </c>
      <c r="H198" s="39">
        <v>6280.6244390739439</v>
      </c>
    </row>
    <row r="199" spans="1:8" x14ac:dyDescent="0.3">
      <c r="A199" s="3">
        <v>34</v>
      </c>
      <c r="G199" s="39">
        <f t="shared" si="44"/>
        <v>4865.8200456137256</v>
      </c>
      <c r="H199" s="39">
        <v>6280.6244390739439</v>
      </c>
    </row>
    <row r="200" spans="1:8" x14ac:dyDescent="0.3">
      <c r="A200" s="3">
        <v>35</v>
      </c>
      <c r="G200" s="39">
        <f t="shared" si="44"/>
        <v>4865.8200456137256</v>
      </c>
      <c r="H200" s="39">
        <v>6280.6244390739439</v>
      </c>
    </row>
    <row r="201" spans="1:8" x14ac:dyDescent="0.3">
      <c r="A201" s="3">
        <v>36</v>
      </c>
      <c r="G201" s="39">
        <f t="shared" si="44"/>
        <v>4865.8200456137256</v>
      </c>
      <c r="H201" s="39">
        <v>6280.6244390739439</v>
      </c>
    </row>
    <row r="202" spans="1:8" x14ac:dyDescent="0.3">
      <c r="A202" s="3">
        <v>37</v>
      </c>
      <c r="G202" s="39">
        <f t="shared" si="44"/>
        <v>4865.8200456137256</v>
      </c>
      <c r="H202" s="39">
        <v>6280.6244390739439</v>
      </c>
    </row>
    <row r="203" spans="1:8" x14ac:dyDescent="0.3">
      <c r="A203" s="3">
        <v>38</v>
      </c>
      <c r="G203" s="39">
        <f t="shared" si="44"/>
        <v>4865.8200456137256</v>
      </c>
      <c r="H203" s="39">
        <v>6280.6244390739439</v>
      </c>
    </row>
    <row r="204" spans="1:8" x14ac:dyDescent="0.3">
      <c r="A204" s="3">
        <v>39</v>
      </c>
      <c r="G204" s="39">
        <f t="shared" si="44"/>
        <v>4865.8200456137256</v>
      </c>
      <c r="H204" s="39">
        <v>6280.6244390739439</v>
      </c>
    </row>
    <row r="205" spans="1:8" x14ac:dyDescent="0.3">
      <c r="A205" s="3">
        <v>40</v>
      </c>
      <c r="G205" s="39">
        <f t="shared" si="44"/>
        <v>4865.8200456137256</v>
      </c>
      <c r="H205" s="39">
        <v>6280.6244390739439</v>
      </c>
    </row>
    <row r="206" spans="1:8" x14ac:dyDescent="0.3">
      <c r="A206" s="3">
        <v>41</v>
      </c>
      <c r="G206" s="39">
        <f t="shared" si="44"/>
        <v>4865.8200456137256</v>
      </c>
      <c r="H206" s="39">
        <v>6280.6244390739439</v>
      </c>
    </row>
    <row r="207" spans="1:8" x14ac:dyDescent="0.3">
      <c r="A207" s="3">
        <v>42</v>
      </c>
      <c r="G207" s="39">
        <f t="shared" si="44"/>
        <v>4865.8200456137256</v>
      </c>
      <c r="H207" s="39">
        <v>6280.6244390739439</v>
      </c>
    </row>
    <row r="208" spans="1:8" x14ac:dyDescent="0.3">
      <c r="A208" s="3">
        <v>43</v>
      </c>
      <c r="G208" s="39">
        <f t="shared" si="44"/>
        <v>4865.8200456137256</v>
      </c>
      <c r="H208" s="39">
        <v>6280.6244390739439</v>
      </c>
    </row>
    <row r="209" spans="1:8" x14ac:dyDescent="0.3">
      <c r="A209" s="3">
        <v>44</v>
      </c>
      <c r="G209" s="39">
        <f t="shared" si="44"/>
        <v>4865.8200456137256</v>
      </c>
      <c r="H209" s="39">
        <v>6280.6244390739439</v>
      </c>
    </row>
    <row r="210" spans="1:8" x14ac:dyDescent="0.3">
      <c r="A210" s="3">
        <v>45</v>
      </c>
      <c r="G210" s="39">
        <f t="shared" si="44"/>
        <v>4865.8200456137256</v>
      </c>
      <c r="H210" s="39">
        <v>6280.6244390739439</v>
      </c>
    </row>
    <row r="211" spans="1:8" x14ac:dyDescent="0.3">
      <c r="A211" s="3">
        <v>46</v>
      </c>
      <c r="G211" s="39">
        <f t="shared" si="44"/>
        <v>4865.8200456137256</v>
      </c>
      <c r="H211" s="39">
        <v>6280.6244390739439</v>
      </c>
    </row>
    <row r="212" spans="1:8" x14ac:dyDescent="0.3">
      <c r="A212" s="3">
        <v>47</v>
      </c>
      <c r="G212" s="39">
        <f t="shared" si="44"/>
        <v>4865.8200456137256</v>
      </c>
      <c r="H212" s="39">
        <v>6280.6244390739439</v>
      </c>
    </row>
    <row r="213" spans="1:8" x14ac:dyDescent="0.3">
      <c r="A213" s="3">
        <v>48</v>
      </c>
      <c r="G213" s="39">
        <f t="shared" si="44"/>
        <v>4865.8200456137256</v>
      </c>
      <c r="H213" s="39">
        <v>6280.6244390739439</v>
      </c>
    </row>
    <row r="214" spans="1:8" x14ac:dyDescent="0.3">
      <c r="A214" s="3">
        <v>49</v>
      </c>
      <c r="G214" s="39">
        <f t="shared" si="44"/>
        <v>4865.8200456137256</v>
      </c>
      <c r="H214" s="39">
        <v>6280.6244390739439</v>
      </c>
    </row>
    <row r="215" spans="1:8" x14ac:dyDescent="0.3">
      <c r="A215" s="3">
        <v>50</v>
      </c>
      <c r="G215" s="39">
        <f t="shared" si="44"/>
        <v>4865.8200456137256</v>
      </c>
      <c r="H215" s="39">
        <v>6280.6244390739439</v>
      </c>
    </row>
    <row r="216" spans="1:8" x14ac:dyDescent="0.3">
      <c r="A216" s="3">
        <v>51</v>
      </c>
      <c r="G216" s="39">
        <f t="shared" si="44"/>
        <v>4865.8200456137256</v>
      </c>
      <c r="H216" s="39">
        <v>6280.6244390739439</v>
      </c>
    </row>
    <row r="217" spans="1:8" x14ac:dyDescent="0.3">
      <c r="A217" s="3">
        <v>52</v>
      </c>
      <c r="E217" s="39"/>
      <c r="F217" s="39"/>
      <c r="G217" s="39">
        <f t="shared" si="44"/>
        <v>4865.8200456137256</v>
      </c>
      <c r="H217" s="39">
        <v>6280.6244390739439</v>
      </c>
    </row>
    <row r="218" spans="1:8" x14ac:dyDescent="0.3">
      <c r="A218" s="3">
        <v>53</v>
      </c>
      <c r="E218" s="39"/>
      <c r="F218" s="39">
        <v>-250.04262945830581</v>
      </c>
      <c r="G218" s="39">
        <v>4750.8099597078099</v>
      </c>
      <c r="H218" s="39">
        <v>6280.6244390739439</v>
      </c>
    </row>
    <row r="219" spans="1:8" x14ac:dyDescent="0.3">
      <c r="A219" s="3">
        <v>54</v>
      </c>
      <c r="E219" s="39"/>
      <c r="F219" s="39">
        <v>-250.04262945830581</v>
      </c>
      <c r="G219" s="39">
        <v>4500.7673302495041</v>
      </c>
      <c r="H219" s="39">
        <v>6280.6244390739439</v>
      </c>
    </row>
    <row r="220" spans="1:8" x14ac:dyDescent="0.3">
      <c r="A220" s="3">
        <v>55</v>
      </c>
      <c r="E220" s="39"/>
      <c r="F220" s="39">
        <v>-750.12788837491735</v>
      </c>
      <c r="G220" s="39">
        <v>3750.6394418745867</v>
      </c>
      <c r="H220" s="39">
        <v>6280.6244390739439</v>
      </c>
    </row>
    <row r="221" spans="1:8" x14ac:dyDescent="0.3">
      <c r="A221" s="3">
        <v>56</v>
      </c>
      <c r="E221" s="39"/>
      <c r="F221" s="39">
        <v>-750.12788837491735</v>
      </c>
      <c r="G221" s="39">
        <v>3000.5115534996694</v>
      </c>
      <c r="H221" s="39">
        <v>6280.6244390739439</v>
      </c>
    </row>
    <row r="222" spans="1:8" x14ac:dyDescent="0.3">
      <c r="A222" s="3">
        <v>57</v>
      </c>
      <c r="E222" s="39"/>
      <c r="F222" s="39">
        <v>-1000.1705178332232</v>
      </c>
      <c r="G222" s="39">
        <v>2000.3410356664463</v>
      </c>
      <c r="H222" s="39">
        <v>6280.6244390739439</v>
      </c>
    </row>
    <row r="223" spans="1:8" x14ac:dyDescent="0.3">
      <c r="A223" s="3">
        <v>58</v>
      </c>
      <c r="E223" s="39"/>
      <c r="F223" s="39">
        <v>-1000.1705178332232</v>
      </c>
      <c r="G223" s="39">
        <v>1000.170517833223</v>
      </c>
      <c r="H223" s="39">
        <v>6280.6244390739439</v>
      </c>
    </row>
    <row r="224" spans="1:8" x14ac:dyDescent="0.3">
      <c r="A224" s="3">
        <v>59</v>
      </c>
      <c r="E224" s="39"/>
      <c r="F224" s="39">
        <v>-500.08525891661162</v>
      </c>
      <c r="G224" s="39">
        <v>500.08525891661139</v>
      </c>
      <c r="H224" s="39">
        <v>6280.6244390739439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156"/>
  <sheetViews>
    <sheetView topLeftCell="A112" zoomScale="85" zoomScaleNormal="85" workbookViewId="0">
      <selection activeCell="I153" sqref="I153"/>
    </sheetView>
  </sheetViews>
  <sheetFormatPr defaultColWidth="9.109375" defaultRowHeight="14.4" x14ac:dyDescent="0.3"/>
  <cols>
    <col min="1" max="1" width="9.109375" style="3"/>
    <col min="2" max="2" width="32.5546875" style="3" bestFit="1" customWidth="1"/>
    <col min="3" max="3" width="32.5546875" style="3" customWidth="1"/>
    <col min="4" max="4" width="9.6640625" style="3" bestFit="1" customWidth="1"/>
    <col min="5" max="17" width="13.6640625" style="3" customWidth="1"/>
    <col min="18" max="18" width="12" style="3" bestFit="1" customWidth="1"/>
    <col min="19" max="16384" width="9.109375" style="3"/>
  </cols>
  <sheetData>
    <row r="2" spans="2:24" s="9" customFormat="1" ht="21" x14ac:dyDescent="0.35">
      <c r="B2" s="10" t="s">
        <v>17</v>
      </c>
      <c r="X2" s="86"/>
    </row>
    <row r="3" spans="2:24" s="32" customFormat="1" ht="21" x14ac:dyDescent="0.35">
      <c r="B3" s="31"/>
      <c r="X3" s="87"/>
    </row>
    <row r="4" spans="2:24" s="32" customFormat="1" ht="30" x14ac:dyDescent="0.25">
      <c r="B4" s="43" t="s">
        <v>61</v>
      </c>
      <c r="C4" s="43"/>
      <c r="D4" s="43"/>
      <c r="E4" s="43" t="s">
        <v>0</v>
      </c>
      <c r="F4" s="43" t="s">
        <v>1</v>
      </c>
      <c r="G4" s="43" t="s">
        <v>28</v>
      </c>
      <c r="H4" s="2" t="s">
        <v>29</v>
      </c>
      <c r="I4" s="2" t="s">
        <v>6</v>
      </c>
      <c r="J4" s="43" t="s">
        <v>2</v>
      </c>
      <c r="K4" s="43" t="s">
        <v>3</v>
      </c>
      <c r="L4" s="43" t="s">
        <v>4</v>
      </c>
      <c r="M4" s="43" t="s">
        <v>9</v>
      </c>
      <c r="N4" s="43" t="s">
        <v>8</v>
      </c>
      <c r="O4" s="43" t="s">
        <v>25</v>
      </c>
      <c r="P4" s="43" t="s">
        <v>7</v>
      </c>
      <c r="Q4" s="43" t="s">
        <v>90</v>
      </c>
    </row>
    <row r="5" spans="2:24" s="11" customFormat="1" ht="15" x14ac:dyDescent="0.25">
      <c r="B5" s="34" t="s">
        <v>39</v>
      </c>
      <c r="E5" s="17">
        <v>1078.60401825022</v>
      </c>
      <c r="F5" s="44">
        <v>0</v>
      </c>
      <c r="G5" s="44">
        <v>367</v>
      </c>
      <c r="H5" s="44">
        <v>574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1.4999999999999999E-2</v>
      </c>
      <c r="P5" s="44">
        <v>0.2</v>
      </c>
      <c r="Q5" s="44">
        <v>0</v>
      </c>
      <c r="X5" s="12"/>
    </row>
    <row r="6" spans="2:24" s="11" customFormat="1" ht="15" x14ac:dyDescent="0.25">
      <c r="B6" s="34"/>
      <c r="E6" s="62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X6" s="12"/>
    </row>
    <row r="7" spans="2:24" ht="30" x14ac:dyDescent="0.25">
      <c r="B7" s="43" t="s">
        <v>63</v>
      </c>
      <c r="C7" s="43"/>
      <c r="D7" s="43"/>
      <c r="E7" s="43" t="s">
        <v>0</v>
      </c>
      <c r="F7" s="43" t="s">
        <v>1</v>
      </c>
      <c r="G7" s="43" t="s">
        <v>28</v>
      </c>
      <c r="H7" s="2" t="s">
        <v>29</v>
      </c>
      <c r="I7" s="2" t="s">
        <v>6</v>
      </c>
      <c r="J7" s="43" t="s">
        <v>2</v>
      </c>
      <c r="K7" s="43" t="s">
        <v>3</v>
      </c>
      <c r="L7" s="43" t="s">
        <v>4</v>
      </c>
      <c r="M7" s="43" t="s">
        <v>9</v>
      </c>
      <c r="N7" s="43" t="s">
        <v>8</v>
      </c>
      <c r="O7" s="43" t="s">
        <v>25</v>
      </c>
      <c r="P7" s="43" t="s">
        <v>7</v>
      </c>
      <c r="Q7" s="43" t="s">
        <v>90</v>
      </c>
      <c r="R7" s="5"/>
      <c r="S7" s="5"/>
      <c r="T7" s="5"/>
      <c r="U7" s="5"/>
    </row>
    <row r="8" spans="2:24" s="11" customFormat="1" ht="15" x14ac:dyDescent="0.25">
      <c r="B8" s="34" t="s">
        <v>39</v>
      </c>
      <c r="E8" s="44">
        <v>975.72310188248775</v>
      </c>
      <c r="F8" s="44">
        <v>0</v>
      </c>
      <c r="G8" s="44">
        <v>367</v>
      </c>
      <c r="H8" s="44">
        <v>574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1.4999999999999999E-2</v>
      </c>
      <c r="P8" s="44">
        <v>0.2</v>
      </c>
      <c r="Q8" s="44">
        <v>0</v>
      </c>
      <c r="X8" s="12"/>
    </row>
    <row r="9" spans="2:24" s="11" customFormat="1" ht="15" x14ac:dyDescent="0.25">
      <c r="B9" s="34"/>
      <c r="E9" s="62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X9" s="12"/>
    </row>
    <row r="10" spans="2:24" ht="30" x14ac:dyDescent="0.25">
      <c r="B10" s="43" t="s">
        <v>64</v>
      </c>
      <c r="C10" s="43"/>
      <c r="D10" s="43"/>
      <c r="E10" s="43" t="s">
        <v>0</v>
      </c>
      <c r="F10" s="43" t="s">
        <v>1</v>
      </c>
      <c r="G10" s="43" t="s">
        <v>28</v>
      </c>
      <c r="H10" s="2" t="s">
        <v>29</v>
      </c>
      <c r="I10" s="2" t="s">
        <v>6</v>
      </c>
      <c r="J10" s="43" t="s">
        <v>2</v>
      </c>
      <c r="K10" s="43" t="s">
        <v>3</v>
      </c>
      <c r="L10" s="43" t="s">
        <v>4</v>
      </c>
      <c r="M10" s="43" t="s">
        <v>9</v>
      </c>
      <c r="N10" s="43" t="s">
        <v>8</v>
      </c>
      <c r="O10" s="43" t="s">
        <v>25</v>
      </c>
      <c r="P10" s="43" t="s">
        <v>7</v>
      </c>
      <c r="Q10" s="43" t="s">
        <v>90</v>
      </c>
      <c r="R10" s="5"/>
      <c r="S10" s="5"/>
      <c r="T10" s="5"/>
      <c r="U10" s="5"/>
      <c r="X10" s="5"/>
    </row>
    <row r="11" spans="2:24" s="11" customFormat="1" ht="15" x14ac:dyDescent="0.25">
      <c r="B11" s="34" t="s">
        <v>39</v>
      </c>
      <c r="E11" s="44">
        <v>975.72310188248775</v>
      </c>
      <c r="F11" s="44">
        <v>0</v>
      </c>
      <c r="G11" s="44">
        <v>367</v>
      </c>
      <c r="H11" s="44">
        <v>574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1.4999999999999999E-2</v>
      </c>
      <c r="P11" s="44">
        <v>0.2</v>
      </c>
      <c r="Q11" s="44">
        <v>0</v>
      </c>
      <c r="X11" s="12"/>
    </row>
    <row r="12" spans="2:24" s="11" customFormat="1" ht="15" x14ac:dyDescent="0.25">
      <c r="B12" s="34"/>
      <c r="C12" s="62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X12" s="12"/>
    </row>
    <row r="13" spans="2:24" s="9" customFormat="1" ht="21" x14ac:dyDescent="0.35">
      <c r="B13" s="10" t="s">
        <v>44</v>
      </c>
      <c r="X13" s="86"/>
    </row>
    <row r="14" spans="2:24" s="32" customFormat="1" ht="21" x14ac:dyDescent="0.35">
      <c r="B14" s="31"/>
      <c r="X14" s="87"/>
    </row>
    <row r="15" spans="2:24" s="32" customFormat="1" ht="30" x14ac:dyDescent="0.25">
      <c r="B15" s="43" t="s">
        <v>61</v>
      </c>
      <c r="C15" s="43"/>
      <c r="D15" s="43"/>
      <c r="E15" s="43" t="s">
        <v>0</v>
      </c>
      <c r="F15" s="43" t="s">
        <v>1</v>
      </c>
      <c r="G15" s="43" t="s">
        <v>28</v>
      </c>
      <c r="H15" s="2" t="s">
        <v>29</v>
      </c>
      <c r="I15" s="2" t="s">
        <v>6</v>
      </c>
      <c r="J15" s="43" t="s">
        <v>2</v>
      </c>
      <c r="K15" s="43" t="s">
        <v>3</v>
      </c>
      <c r="L15" s="43" t="s">
        <v>4</v>
      </c>
      <c r="M15" s="43" t="s">
        <v>9</v>
      </c>
      <c r="N15" s="43" t="s">
        <v>8</v>
      </c>
      <c r="O15" s="43" t="s">
        <v>25</v>
      </c>
      <c r="P15" s="43" t="s">
        <v>7</v>
      </c>
      <c r="Q15" s="43" t="s">
        <v>90</v>
      </c>
    </row>
    <row r="16" spans="2:24" s="11" customFormat="1" ht="15" x14ac:dyDescent="0.25">
      <c r="B16" s="34" t="s">
        <v>58</v>
      </c>
      <c r="E16" s="17">
        <v>1440</v>
      </c>
      <c r="F16" s="44">
        <v>0</v>
      </c>
      <c r="G16" s="44">
        <v>19.8</v>
      </c>
      <c r="H16" s="44">
        <v>0</v>
      </c>
      <c r="I16" s="44">
        <v>0</v>
      </c>
      <c r="J16" s="44">
        <v>0</v>
      </c>
      <c r="K16" s="44">
        <v>80</v>
      </c>
      <c r="L16" s="44">
        <v>0</v>
      </c>
      <c r="M16" s="44">
        <v>0</v>
      </c>
      <c r="N16" s="44">
        <v>227</v>
      </c>
      <c r="O16" s="44">
        <v>1.4999999999999999E-2</v>
      </c>
      <c r="P16" s="44">
        <v>0.2</v>
      </c>
      <c r="Q16" s="44">
        <v>0</v>
      </c>
      <c r="X16" s="12"/>
    </row>
    <row r="17" spans="2:31" s="11" customFormat="1" ht="15" x14ac:dyDescent="0.25">
      <c r="B17" s="34"/>
      <c r="E17" s="62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X17" s="12"/>
    </row>
    <row r="18" spans="2:31" ht="30" x14ac:dyDescent="0.25">
      <c r="B18" s="43" t="s">
        <v>63</v>
      </c>
      <c r="C18" s="43"/>
      <c r="D18" s="43"/>
      <c r="E18" s="43" t="s">
        <v>0</v>
      </c>
      <c r="F18" s="43" t="s">
        <v>1</v>
      </c>
      <c r="G18" s="43" t="s">
        <v>28</v>
      </c>
      <c r="H18" s="2" t="s">
        <v>29</v>
      </c>
      <c r="I18" s="2" t="s">
        <v>6</v>
      </c>
      <c r="J18" s="43" t="s">
        <v>2</v>
      </c>
      <c r="K18" s="43" t="s">
        <v>3</v>
      </c>
      <c r="L18" s="43" t="s">
        <v>4</v>
      </c>
      <c r="M18" s="43" t="s">
        <v>9</v>
      </c>
      <c r="N18" s="43" t="s">
        <v>8</v>
      </c>
      <c r="O18" s="43" t="s">
        <v>25</v>
      </c>
      <c r="P18" s="43" t="s">
        <v>7</v>
      </c>
      <c r="Q18" s="43" t="s">
        <v>90</v>
      </c>
      <c r="R18" s="5"/>
      <c r="S18" s="5"/>
      <c r="T18" s="5"/>
      <c r="U18" s="5"/>
    </row>
    <row r="19" spans="2:31" s="11" customFormat="1" ht="15" x14ac:dyDescent="0.25">
      <c r="B19" s="34" t="s">
        <v>58</v>
      </c>
      <c r="E19" s="17">
        <v>231</v>
      </c>
      <c r="F19" s="44">
        <v>0</v>
      </c>
      <c r="G19" s="44">
        <v>19.8</v>
      </c>
      <c r="H19" s="44">
        <v>0</v>
      </c>
      <c r="I19" s="44">
        <v>0</v>
      </c>
      <c r="J19" s="44">
        <v>0</v>
      </c>
      <c r="K19" s="44">
        <v>80</v>
      </c>
      <c r="L19" s="44">
        <v>0</v>
      </c>
      <c r="M19" s="44">
        <v>0</v>
      </c>
      <c r="N19" s="44">
        <v>227</v>
      </c>
      <c r="O19" s="44">
        <v>1.4999999999999999E-2</v>
      </c>
      <c r="P19" s="44">
        <v>0.2</v>
      </c>
      <c r="Q19" s="44">
        <v>0</v>
      </c>
      <c r="X19" s="12"/>
    </row>
    <row r="20" spans="2:31" s="11" customFormat="1" ht="15" x14ac:dyDescent="0.25">
      <c r="B20" s="34"/>
      <c r="E20" s="62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X20" s="12"/>
    </row>
    <row r="21" spans="2:31" ht="30" x14ac:dyDescent="0.25">
      <c r="B21" s="43" t="s">
        <v>64</v>
      </c>
      <c r="C21" s="43"/>
      <c r="D21" s="43"/>
      <c r="E21" s="43" t="s">
        <v>0</v>
      </c>
      <c r="F21" s="43" t="s">
        <v>1</v>
      </c>
      <c r="G21" s="43" t="s">
        <v>28</v>
      </c>
      <c r="H21" s="2" t="s">
        <v>29</v>
      </c>
      <c r="I21" s="2" t="s">
        <v>6</v>
      </c>
      <c r="J21" s="43" t="s">
        <v>2</v>
      </c>
      <c r="K21" s="43" t="s">
        <v>3</v>
      </c>
      <c r="L21" s="43" t="s">
        <v>4</v>
      </c>
      <c r="M21" s="43" t="s">
        <v>9</v>
      </c>
      <c r="N21" s="43" t="s">
        <v>8</v>
      </c>
      <c r="O21" s="43" t="s">
        <v>25</v>
      </c>
      <c r="P21" s="43" t="s">
        <v>7</v>
      </c>
      <c r="Q21" s="43" t="s">
        <v>90</v>
      </c>
      <c r="R21" s="5"/>
      <c r="S21" s="5"/>
      <c r="T21" s="5"/>
      <c r="U21" s="5"/>
      <c r="X21" s="5"/>
    </row>
    <row r="22" spans="2:31" s="11" customFormat="1" ht="15" x14ac:dyDescent="0.25">
      <c r="B22" s="34" t="s">
        <v>58</v>
      </c>
      <c r="E22" s="17">
        <v>231</v>
      </c>
      <c r="F22" s="44">
        <v>0</v>
      </c>
      <c r="G22" s="44">
        <v>19.8</v>
      </c>
      <c r="H22" s="44">
        <v>0</v>
      </c>
      <c r="I22" s="44">
        <v>0</v>
      </c>
      <c r="J22" s="44">
        <v>0</v>
      </c>
      <c r="K22" s="44">
        <v>80</v>
      </c>
      <c r="L22" s="44">
        <v>0</v>
      </c>
      <c r="M22" s="44">
        <v>0</v>
      </c>
      <c r="N22" s="44">
        <v>227</v>
      </c>
      <c r="O22" s="44">
        <v>1.4999999999999999E-2</v>
      </c>
      <c r="P22" s="44">
        <v>0.2</v>
      </c>
      <c r="Q22" s="44">
        <v>0</v>
      </c>
      <c r="X22" s="12"/>
    </row>
    <row r="23" spans="2:31" s="11" customFormat="1" ht="15" x14ac:dyDescent="0.25">
      <c r="B23" s="34"/>
      <c r="C23" s="62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X23" s="12"/>
    </row>
    <row r="24" spans="2:31" s="9" customFormat="1" ht="21" x14ac:dyDescent="0.35">
      <c r="B24" s="10" t="s">
        <v>69</v>
      </c>
      <c r="C24" s="10"/>
    </row>
    <row r="25" spans="2:31" s="32" customFormat="1" ht="15" x14ac:dyDescent="0.25">
      <c r="B25" s="43"/>
      <c r="C25" s="43"/>
      <c r="D25" s="40"/>
      <c r="E25" s="40"/>
      <c r="F25" s="40"/>
      <c r="G25" s="40"/>
    </row>
    <row r="26" spans="2:31" s="32" customFormat="1" ht="30" x14ac:dyDescent="0.25">
      <c r="B26" s="43" t="s">
        <v>61</v>
      </c>
      <c r="C26" s="43"/>
      <c r="D26" s="43"/>
      <c r="E26" s="43" t="s">
        <v>0</v>
      </c>
      <c r="F26" s="43" t="s">
        <v>1</v>
      </c>
      <c r="G26" s="43" t="s">
        <v>28</v>
      </c>
      <c r="H26" s="2" t="s">
        <v>29</v>
      </c>
      <c r="I26" s="2" t="s">
        <v>6</v>
      </c>
      <c r="J26" s="43" t="s">
        <v>2</v>
      </c>
      <c r="K26" s="43" t="s">
        <v>3</v>
      </c>
      <c r="L26" s="43" t="s">
        <v>4</v>
      </c>
      <c r="M26" s="43" t="s">
        <v>9</v>
      </c>
      <c r="N26" s="43" t="s">
        <v>8</v>
      </c>
      <c r="O26" s="43" t="s">
        <v>25</v>
      </c>
      <c r="P26" s="43" t="s">
        <v>7</v>
      </c>
      <c r="Q26" s="43" t="s">
        <v>90</v>
      </c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2:31" s="32" customFormat="1" ht="15.75" customHeight="1" x14ac:dyDescent="0.25">
      <c r="B27" s="33" t="s">
        <v>21</v>
      </c>
      <c r="C27" s="33"/>
      <c r="D27" s="91" t="s">
        <v>62</v>
      </c>
      <c r="E27" s="17">
        <v>547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2:31" s="32" customFormat="1" ht="15" x14ac:dyDescent="0.25">
      <c r="B28" s="33" t="s">
        <v>19</v>
      </c>
      <c r="C28" s="33"/>
      <c r="D28" s="91" t="s">
        <v>62</v>
      </c>
      <c r="E28" s="17">
        <v>650</v>
      </c>
      <c r="F28" s="17">
        <v>650</v>
      </c>
      <c r="G28" s="17">
        <v>0</v>
      </c>
      <c r="H28" s="17">
        <v>161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201</v>
      </c>
      <c r="Q28" s="17">
        <v>0</v>
      </c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2:31" s="32" customFormat="1" ht="15" x14ac:dyDescent="0.25">
      <c r="B29" s="33" t="s">
        <v>20</v>
      </c>
      <c r="C29" s="33"/>
      <c r="D29" s="91" t="s">
        <v>62</v>
      </c>
      <c r="E29" s="36">
        <v>0.26832454873646205</v>
      </c>
      <c r="F29" s="36">
        <v>0.12287246155234656</v>
      </c>
      <c r="G29" s="36">
        <v>0.95</v>
      </c>
      <c r="H29" s="36">
        <v>2.5</v>
      </c>
      <c r="I29" s="36">
        <v>0.3</v>
      </c>
      <c r="J29" s="36">
        <v>0.93</v>
      </c>
      <c r="K29" s="36">
        <v>3.3</v>
      </c>
      <c r="L29" s="36">
        <v>1.7</v>
      </c>
      <c r="M29" s="36">
        <v>1.107</v>
      </c>
      <c r="N29" s="36">
        <v>1.65</v>
      </c>
      <c r="O29" s="36">
        <v>1.51</v>
      </c>
      <c r="P29" s="36">
        <v>0.05</v>
      </c>
      <c r="Q29" s="36">
        <v>0</v>
      </c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2:31" ht="15" x14ac:dyDescent="0.25">
      <c r="B30" s="43"/>
      <c r="C30" s="43"/>
      <c r="D30" s="43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5"/>
      <c r="S30" s="107"/>
      <c r="T30" s="107"/>
      <c r="U30" s="107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2:31" ht="30" x14ac:dyDescent="0.25">
      <c r="B31" s="43" t="s">
        <v>63</v>
      </c>
      <c r="C31" s="43"/>
      <c r="D31" s="43"/>
      <c r="E31" s="43" t="s">
        <v>0</v>
      </c>
      <c r="F31" s="43" t="s">
        <v>1</v>
      </c>
      <c r="G31" s="43" t="s">
        <v>28</v>
      </c>
      <c r="H31" s="2" t="s">
        <v>29</v>
      </c>
      <c r="I31" s="2" t="s">
        <v>6</v>
      </c>
      <c r="J31" s="43" t="s">
        <v>2</v>
      </c>
      <c r="K31" s="43" t="s">
        <v>3</v>
      </c>
      <c r="L31" s="43" t="s">
        <v>4</v>
      </c>
      <c r="M31" s="43" t="s">
        <v>9</v>
      </c>
      <c r="N31" s="43" t="s">
        <v>8</v>
      </c>
      <c r="O31" s="43" t="s">
        <v>25</v>
      </c>
      <c r="P31" s="43" t="s">
        <v>7</v>
      </c>
      <c r="Q31" s="43" t="s">
        <v>90</v>
      </c>
      <c r="R31" s="5"/>
      <c r="S31" s="107"/>
      <c r="T31" s="107"/>
      <c r="U31" s="107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2:31" s="32" customFormat="1" ht="15.75" customHeight="1" x14ac:dyDescent="0.25">
      <c r="B32" s="33" t="s">
        <v>21</v>
      </c>
      <c r="C32" s="33"/>
      <c r="D32" s="91" t="s">
        <v>62</v>
      </c>
      <c r="E32" s="44">
        <f>AVERAGE(4525,4679)</f>
        <v>4602</v>
      </c>
      <c r="F32" s="44">
        <v>6454.9045250562804</v>
      </c>
      <c r="G32" s="44">
        <v>901.10972649676557</v>
      </c>
      <c r="H32" s="44">
        <v>794.35459770843181</v>
      </c>
      <c r="I32" s="44">
        <v>0</v>
      </c>
      <c r="J32" s="44">
        <v>0</v>
      </c>
      <c r="K32" s="44">
        <v>0</v>
      </c>
      <c r="L32" s="44">
        <v>0</v>
      </c>
      <c r="M32" s="44">
        <v>2810</v>
      </c>
      <c r="N32" s="44">
        <v>0</v>
      </c>
      <c r="O32" s="44">
        <v>0</v>
      </c>
      <c r="P32" s="44">
        <v>2328.2524449730454</v>
      </c>
      <c r="Q32" s="44">
        <v>0</v>
      </c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2:31" s="32" customFormat="1" ht="15" x14ac:dyDescent="0.25">
      <c r="B33" s="33" t="s">
        <v>19</v>
      </c>
      <c r="C33" s="33"/>
      <c r="D33" s="91" t="s">
        <v>62</v>
      </c>
      <c r="E33" s="17">
        <v>924</v>
      </c>
      <c r="F33" s="44">
        <v>968.06859205776175</v>
      </c>
      <c r="G33" s="44">
        <v>165.17328519855596</v>
      </c>
      <c r="H33" s="44">
        <v>160.79783393501805</v>
      </c>
      <c r="I33" s="44">
        <v>0</v>
      </c>
      <c r="J33" s="44">
        <v>0</v>
      </c>
      <c r="K33" s="44">
        <v>0</v>
      </c>
      <c r="L33" s="44">
        <v>0</v>
      </c>
      <c r="M33" s="44">
        <v>2373</v>
      </c>
      <c r="N33" s="44">
        <v>0</v>
      </c>
      <c r="O33" s="44">
        <v>0</v>
      </c>
      <c r="P33" s="44">
        <v>201.27075812274367</v>
      </c>
      <c r="Q33" s="44">
        <v>0</v>
      </c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2:31" s="32" customFormat="1" ht="15" x14ac:dyDescent="0.25">
      <c r="B34" s="33" t="s">
        <v>20</v>
      </c>
      <c r="C34" s="33"/>
      <c r="D34" s="91" t="s">
        <v>62</v>
      </c>
      <c r="E34" s="36">
        <v>0.36168632057761729</v>
      </c>
      <c r="F34" s="36">
        <v>0.12287246155234656</v>
      </c>
      <c r="G34" s="36">
        <v>1.1311272563176895</v>
      </c>
      <c r="H34" s="36">
        <v>1.730256498194946</v>
      </c>
      <c r="I34" s="36">
        <v>1.24</v>
      </c>
      <c r="J34" s="36">
        <v>0.70507456548359604</v>
      </c>
      <c r="K34" s="36">
        <v>2.2907692307692309</v>
      </c>
      <c r="L34" s="36">
        <v>0.79657730380457292</v>
      </c>
      <c r="M34" s="36">
        <v>0.09</v>
      </c>
      <c r="N34" s="36">
        <v>1.61</v>
      </c>
      <c r="O34" s="36">
        <v>1.51</v>
      </c>
      <c r="P34" s="36">
        <v>0</v>
      </c>
      <c r="Q34" s="36">
        <v>0</v>
      </c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2:31" ht="15" x14ac:dyDescent="0.25">
      <c r="D35" s="43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5"/>
      <c r="S35" s="107"/>
      <c r="T35" s="107"/>
      <c r="U35" s="107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2:31" ht="30" x14ac:dyDescent="0.25">
      <c r="B36" s="43" t="s">
        <v>64</v>
      </c>
      <c r="C36" s="43"/>
      <c r="D36" s="43"/>
      <c r="E36" s="43" t="s">
        <v>0</v>
      </c>
      <c r="F36" s="43" t="s">
        <v>1</v>
      </c>
      <c r="G36" s="43" t="s">
        <v>28</v>
      </c>
      <c r="H36" s="2" t="s">
        <v>29</v>
      </c>
      <c r="I36" s="2" t="s">
        <v>6</v>
      </c>
      <c r="J36" s="43" t="s">
        <v>2</v>
      </c>
      <c r="K36" s="43" t="s">
        <v>3</v>
      </c>
      <c r="L36" s="43" t="s">
        <v>4</v>
      </c>
      <c r="M36" s="43" t="s">
        <v>9</v>
      </c>
      <c r="N36" s="43" t="s">
        <v>8</v>
      </c>
      <c r="O36" s="43" t="s">
        <v>25</v>
      </c>
      <c r="P36" s="43" t="s">
        <v>7</v>
      </c>
      <c r="Q36" s="43" t="s">
        <v>90</v>
      </c>
      <c r="R36" s="5"/>
      <c r="S36" s="107"/>
      <c r="T36" s="107"/>
      <c r="U36" s="107"/>
      <c r="V36" s="40"/>
      <c r="W36" s="40"/>
      <c r="X36" s="107"/>
      <c r="Y36" s="40"/>
      <c r="Z36" s="40"/>
      <c r="AA36" s="40"/>
      <c r="AB36" s="40"/>
      <c r="AC36" s="40"/>
      <c r="AD36" s="40"/>
      <c r="AE36" s="40"/>
    </row>
    <row r="37" spans="2:31" ht="15" x14ac:dyDescent="0.25">
      <c r="B37" s="33" t="s">
        <v>21</v>
      </c>
      <c r="C37" s="33"/>
      <c r="D37" s="92">
        <v>2016</v>
      </c>
      <c r="E37" s="102">
        <v>3559.4976938012715</v>
      </c>
      <c r="F37" s="102">
        <v>6454.9045250562804</v>
      </c>
      <c r="G37" s="102">
        <v>901.10972649676557</v>
      </c>
      <c r="H37" s="102">
        <v>794.35459770843181</v>
      </c>
      <c r="I37" s="102">
        <v>5564</v>
      </c>
      <c r="J37" s="102">
        <v>1911</v>
      </c>
      <c r="K37" s="102">
        <v>10206</v>
      </c>
      <c r="L37" s="102">
        <v>1073</v>
      </c>
      <c r="M37" s="102">
        <v>1154.0789960129314</v>
      </c>
      <c r="N37" s="102">
        <v>4395</v>
      </c>
      <c r="O37" s="102"/>
      <c r="P37" s="102">
        <v>2328.2524449730454</v>
      </c>
      <c r="Q37" s="102">
        <v>2512</v>
      </c>
      <c r="R37" s="5"/>
      <c r="S37" s="107"/>
      <c r="T37" s="107"/>
      <c r="U37" s="107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2:31" ht="15" x14ac:dyDescent="0.25">
      <c r="D38" s="3">
        <v>2030</v>
      </c>
      <c r="E38" s="102">
        <v>3559.4976938012715</v>
      </c>
      <c r="F38" s="102">
        <v>6281</v>
      </c>
      <c r="G38" s="102">
        <v>901.10972649676557</v>
      </c>
      <c r="H38" s="102">
        <v>794.35459770843181</v>
      </c>
      <c r="I38" s="102">
        <v>5564</v>
      </c>
      <c r="J38" s="102">
        <v>1911</v>
      </c>
      <c r="K38" s="102">
        <v>8246</v>
      </c>
      <c r="L38" s="102">
        <v>967</v>
      </c>
      <c r="M38" s="102">
        <v>1154.0789960129314</v>
      </c>
      <c r="N38" s="102">
        <v>4395</v>
      </c>
      <c r="O38" s="102"/>
      <c r="P38" s="102">
        <v>2328.2524449730454</v>
      </c>
      <c r="Q38" s="102">
        <v>2512</v>
      </c>
      <c r="R38" s="5"/>
      <c r="S38" s="107"/>
      <c r="T38" s="107"/>
      <c r="U38" s="107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2:31" ht="15" x14ac:dyDescent="0.25">
      <c r="D39" s="3">
        <v>2040</v>
      </c>
      <c r="E39" s="102">
        <v>3559.4976938012715</v>
      </c>
      <c r="F39" s="102">
        <v>6281</v>
      </c>
      <c r="G39" s="102">
        <v>901.10972649676557</v>
      </c>
      <c r="H39" s="102">
        <v>794.35459770843181</v>
      </c>
      <c r="I39" s="102">
        <v>5564</v>
      </c>
      <c r="J39" s="102">
        <v>1911</v>
      </c>
      <c r="K39" s="102">
        <v>7196</v>
      </c>
      <c r="L39" s="102">
        <v>911</v>
      </c>
      <c r="M39" s="102">
        <v>1154.0789960129314</v>
      </c>
      <c r="N39" s="102">
        <v>4395</v>
      </c>
      <c r="O39" s="102"/>
      <c r="P39" s="102">
        <v>2328.2524449730454</v>
      </c>
      <c r="Q39" s="102">
        <v>2512</v>
      </c>
      <c r="R39" s="5"/>
      <c r="S39" s="107"/>
      <c r="T39" s="107"/>
      <c r="U39" s="107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2:31" ht="15" x14ac:dyDescent="0.25">
      <c r="D40" s="3">
        <v>2050</v>
      </c>
      <c r="E40" s="102">
        <v>3559.4976938012715</v>
      </c>
      <c r="F40" s="102">
        <v>6281</v>
      </c>
      <c r="G40" s="102">
        <v>901.10972649676557</v>
      </c>
      <c r="H40" s="102">
        <v>794.35459770843181</v>
      </c>
      <c r="I40" s="102">
        <v>5564</v>
      </c>
      <c r="J40" s="102">
        <v>1911</v>
      </c>
      <c r="K40" s="102">
        <v>6146</v>
      </c>
      <c r="L40" s="102">
        <v>854</v>
      </c>
      <c r="M40" s="102">
        <v>1154.0789960129314</v>
      </c>
      <c r="N40" s="102">
        <v>4395</v>
      </c>
      <c r="O40" s="102"/>
      <c r="P40" s="102">
        <v>2328.2524449730454</v>
      </c>
      <c r="Q40" s="102">
        <v>2512</v>
      </c>
      <c r="R40" s="5"/>
      <c r="S40" s="107"/>
      <c r="T40" s="107"/>
      <c r="U40" s="107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31" s="32" customFormat="1" ht="15" x14ac:dyDescent="0.25">
      <c r="B41" s="33" t="s">
        <v>19</v>
      </c>
      <c r="C41" s="33"/>
      <c r="D41" s="92">
        <v>2016</v>
      </c>
      <c r="E41" s="17">
        <v>924</v>
      </c>
      <c r="F41" s="102">
        <v>968.06859205776175</v>
      </c>
      <c r="G41" s="102">
        <v>165.17328519855596</v>
      </c>
      <c r="H41" s="102">
        <v>160.79783393501805</v>
      </c>
      <c r="I41" s="102">
        <v>907.42483754512637</v>
      </c>
      <c r="J41" s="102">
        <v>0</v>
      </c>
      <c r="K41" s="102">
        <v>0</v>
      </c>
      <c r="L41" s="102">
        <v>0</v>
      </c>
      <c r="M41" s="102">
        <v>422</v>
      </c>
      <c r="N41" s="102">
        <v>1655.0144404332129</v>
      </c>
      <c r="O41" s="102"/>
      <c r="P41" s="102">
        <v>201.27075812274367</v>
      </c>
      <c r="Q41" s="102">
        <v>618</v>
      </c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2:31" ht="15" x14ac:dyDescent="0.25">
      <c r="D42" s="3">
        <v>2030</v>
      </c>
      <c r="E42" s="17">
        <v>924</v>
      </c>
      <c r="F42" s="102">
        <v>968.06859205776175</v>
      </c>
      <c r="G42" s="102">
        <v>165.17328519855596</v>
      </c>
      <c r="H42" s="102">
        <v>160.79783393501805</v>
      </c>
      <c r="I42" s="102">
        <v>907.42483754512637</v>
      </c>
      <c r="J42" s="102">
        <v>0</v>
      </c>
      <c r="K42" s="102">
        <v>0</v>
      </c>
      <c r="L42" s="102">
        <v>0</v>
      </c>
      <c r="M42" s="102">
        <v>422</v>
      </c>
      <c r="N42" s="102">
        <v>1655.0144404332129</v>
      </c>
      <c r="O42" s="102"/>
      <c r="P42" s="102">
        <v>201.27075812274367</v>
      </c>
      <c r="Q42" s="102">
        <v>618</v>
      </c>
      <c r="R42" s="5"/>
      <c r="S42" s="107"/>
      <c r="T42" s="107"/>
      <c r="U42" s="107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31" ht="15" x14ac:dyDescent="0.25">
      <c r="D43" s="3">
        <v>2040</v>
      </c>
      <c r="E43" s="17">
        <v>924</v>
      </c>
      <c r="F43" s="102">
        <v>968.06859205776175</v>
      </c>
      <c r="G43" s="102">
        <v>165.17328519855596</v>
      </c>
      <c r="H43" s="102">
        <v>160.79783393501805</v>
      </c>
      <c r="I43" s="102">
        <v>907.42483754512637</v>
      </c>
      <c r="J43" s="102">
        <v>0</v>
      </c>
      <c r="K43" s="102">
        <v>0</v>
      </c>
      <c r="L43" s="102">
        <v>0</v>
      </c>
      <c r="M43" s="102">
        <v>422</v>
      </c>
      <c r="N43" s="102">
        <v>1655.0144404332129</v>
      </c>
      <c r="O43" s="102"/>
      <c r="P43" s="102">
        <v>201.27075812274367</v>
      </c>
      <c r="Q43" s="102">
        <v>618</v>
      </c>
      <c r="R43" s="5"/>
      <c r="S43" s="107"/>
      <c r="T43" s="107"/>
      <c r="U43" s="107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2:31" ht="15" x14ac:dyDescent="0.25">
      <c r="D44" s="3">
        <v>2050</v>
      </c>
      <c r="E44" s="17">
        <v>924</v>
      </c>
      <c r="F44" s="102">
        <v>968.06859205776175</v>
      </c>
      <c r="G44" s="102">
        <v>165.17328519855596</v>
      </c>
      <c r="H44" s="102">
        <v>160.79783393501805</v>
      </c>
      <c r="I44" s="102">
        <v>907.42483754512637</v>
      </c>
      <c r="J44" s="102">
        <v>0</v>
      </c>
      <c r="K44" s="102">
        <v>0</v>
      </c>
      <c r="L44" s="102">
        <v>0</v>
      </c>
      <c r="M44" s="102">
        <v>422</v>
      </c>
      <c r="N44" s="102">
        <v>1655.0144404332129</v>
      </c>
      <c r="O44" s="102"/>
      <c r="P44" s="102">
        <v>201.27075812274367</v>
      </c>
      <c r="Q44" s="102">
        <v>618</v>
      </c>
      <c r="R44" s="5"/>
      <c r="S44" s="107"/>
      <c r="T44" s="107"/>
      <c r="U44" s="107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2:31" s="32" customFormat="1" ht="15" x14ac:dyDescent="0.25">
      <c r="B45" s="33" t="s">
        <v>20</v>
      </c>
      <c r="C45" s="33"/>
      <c r="D45" s="92">
        <v>2016</v>
      </c>
      <c r="E45" s="45">
        <v>0.36168632057761729</v>
      </c>
      <c r="F45" s="45">
        <v>0.12287246155234656</v>
      </c>
      <c r="G45" s="45">
        <v>1.1311272563176895</v>
      </c>
      <c r="H45" s="45">
        <v>1.7302564981949458</v>
      </c>
      <c r="I45" s="45">
        <v>0</v>
      </c>
      <c r="J45" s="45">
        <v>0</v>
      </c>
      <c r="K45" s="45">
        <v>0</v>
      </c>
      <c r="L45" s="45">
        <v>0</v>
      </c>
      <c r="M45" s="45">
        <v>1.42</v>
      </c>
      <c r="N45" s="45">
        <v>0.46</v>
      </c>
      <c r="O45" s="45">
        <v>1.51</v>
      </c>
      <c r="P45" s="45">
        <v>0</v>
      </c>
      <c r="Q45" s="45">
        <v>3.2000000000000001E-2</v>
      </c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2:31" ht="15" x14ac:dyDescent="0.25">
      <c r="D46" s="3">
        <v>2030</v>
      </c>
      <c r="E46" s="45">
        <v>0.36168632057761729</v>
      </c>
      <c r="F46" s="45">
        <v>0.12287246155234656</v>
      </c>
      <c r="G46" s="45">
        <v>1.1311272563176895</v>
      </c>
      <c r="H46" s="45">
        <v>1.7302564981949458</v>
      </c>
      <c r="I46" s="45">
        <v>0</v>
      </c>
      <c r="J46" s="45">
        <v>0</v>
      </c>
      <c r="K46" s="45">
        <v>0</v>
      </c>
      <c r="L46" s="45">
        <v>0</v>
      </c>
      <c r="M46" s="45">
        <v>1.42</v>
      </c>
      <c r="N46" s="45">
        <v>0.46</v>
      </c>
      <c r="O46" s="45">
        <v>1.51</v>
      </c>
      <c r="P46" s="45">
        <v>0</v>
      </c>
      <c r="Q46" s="45">
        <v>3.2000000000000001E-2</v>
      </c>
      <c r="R46" s="5"/>
      <c r="S46" s="107"/>
      <c r="T46" s="107"/>
      <c r="U46" s="107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2:31" ht="15" x14ac:dyDescent="0.25">
      <c r="D47" s="3">
        <v>2040</v>
      </c>
      <c r="E47" s="45">
        <v>0.36168632057761729</v>
      </c>
      <c r="F47" s="45">
        <v>0.12287246155234656</v>
      </c>
      <c r="G47" s="45">
        <v>1.1311272563176895</v>
      </c>
      <c r="H47" s="45">
        <v>1.7302564981949458</v>
      </c>
      <c r="I47" s="45">
        <v>0</v>
      </c>
      <c r="J47" s="45">
        <v>0</v>
      </c>
      <c r="K47" s="45">
        <v>0</v>
      </c>
      <c r="L47" s="45">
        <v>0</v>
      </c>
      <c r="M47" s="45">
        <v>1.42</v>
      </c>
      <c r="N47" s="45">
        <v>0.46</v>
      </c>
      <c r="O47" s="45">
        <v>1.51</v>
      </c>
      <c r="P47" s="45">
        <v>0</v>
      </c>
      <c r="Q47" s="45">
        <v>3.2000000000000001E-2</v>
      </c>
      <c r="R47" s="5"/>
      <c r="S47" s="107"/>
      <c r="T47" s="107"/>
      <c r="U47" s="107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2:31" ht="15" x14ac:dyDescent="0.25">
      <c r="D48" s="3">
        <v>2050</v>
      </c>
      <c r="E48" s="45">
        <v>0.36168632057761729</v>
      </c>
      <c r="F48" s="45">
        <v>0.12287246155234656</v>
      </c>
      <c r="G48" s="45">
        <v>1.1311272563176895</v>
      </c>
      <c r="H48" s="45">
        <v>1.7302564981949458</v>
      </c>
      <c r="I48" s="45">
        <v>0</v>
      </c>
      <c r="J48" s="45">
        <v>0</v>
      </c>
      <c r="K48" s="45">
        <v>0</v>
      </c>
      <c r="L48" s="45">
        <v>0</v>
      </c>
      <c r="M48" s="45">
        <v>1.42</v>
      </c>
      <c r="N48" s="45">
        <v>0.46</v>
      </c>
      <c r="O48" s="45">
        <v>1.51</v>
      </c>
      <c r="P48" s="45">
        <v>0</v>
      </c>
      <c r="Q48" s="45">
        <v>3.2000000000000001E-2</v>
      </c>
      <c r="R48" s="5"/>
      <c r="S48" s="107"/>
      <c r="T48" s="107"/>
      <c r="U48" s="107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2:36" ht="15" x14ac:dyDescent="0.25">
      <c r="D49" s="43"/>
    </row>
    <row r="50" spans="2:36" s="9" customFormat="1" ht="21" x14ac:dyDescent="0.35">
      <c r="B50" s="10" t="s">
        <v>99</v>
      </c>
      <c r="Y50" s="86"/>
    </row>
    <row r="51" spans="2:36" s="32" customFormat="1" ht="17.25" customHeight="1" x14ac:dyDescent="0.35">
      <c r="B51" s="31"/>
      <c r="E51" s="84"/>
      <c r="Y51" s="87"/>
    </row>
    <row r="52" spans="2:36" s="32" customFormat="1" ht="30" x14ac:dyDescent="0.25">
      <c r="B52" s="43"/>
      <c r="C52" s="43"/>
      <c r="D52" s="43"/>
      <c r="E52" s="43" t="s">
        <v>0</v>
      </c>
      <c r="F52" s="43" t="s">
        <v>1</v>
      </c>
      <c r="G52" s="43" t="s">
        <v>28</v>
      </c>
      <c r="H52" s="2" t="s">
        <v>29</v>
      </c>
      <c r="I52" s="2" t="s">
        <v>6</v>
      </c>
      <c r="J52" s="43" t="s">
        <v>2</v>
      </c>
      <c r="K52" s="43" t="s">
        <v>3</v>
      </c>
      <c r="L52" s="43" t="s">
        <v>4</v>
      </c>
      <c r="M52" s="43" t="s">
        <v>9</v>
      </c>
      <c r="N52" s="43" t="s">
        <v>8</v>
      </c>
      <c r="O52" s="43" t="s">
        <v>25</v>
      </c>
      <c r="P52" s="43" t="s">
        <v>7</v>
      </c>
      <c r="Q52" s="43" t="s">
        <v>90</v>
      </c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36" ht="15" x14ac:dyDescent="0.25">
      <c r="B53" s="33" t="s">
        <v>120</v>
      </c>
      <c r="E53" s="102">
        <v>25570</v>
      </c>
      <c r="F53" s="102">
        <v>14750</v>
      </c>
      <c r="G53" s="102">
        <v>4680</v>
      </c>
      <c r="H53" s="102">
        <v>4680</v>
      </c>
      <c r="I53" s="102"/>
      <c r="J53" s="102">
        <v>6400</v>
      </c>
      <c r="K53" s="102">
        <v>26000</v>
      </c>
      <c r="L53" s="102">
        <v>8720</v>
      </c>
      <c r="M53" s="102"/>
      <c r="N53" s="102"/>
      <c r="O53" s="102"/>
      <c r="P53" s="102"/>
      <c r="Q53" s="102"/>
      <c r="S53" s="3">
        <f>ROUND(24745+826,-1)</f>
        <v>25570</v>
      </c>
      <c r="T53" s="3">
        <f>ROUND(14000+750,-1)</f>
        <v>14750</v>
      </c>
      <c r="U53" s="3">
        <f>ROUND(4681,-1)</f>
        <v>4680</v>
      </c>
      <c r="V53" s="3">
        <f>ROUND(4681,-1)</f>
        <v>4680</v>
      </c>
      <c r="X53" s="3">
        <f>ROUND(6401,-1)</f>
        <v>6400</v>
      </c>
      <c r="Y53" s="89">
        <f>ROUND(26000,-1)</f>
        <v>26000</v>
      </c>
      <c r="Z53" s="3">
        <f>ROUND(8724,-1)</f>
        <v>8720</v>
      </c>
      <c r="AC53" s="39">
        <f>ROUND(24745+826,-1)</f>
        <v>25570</v>
      </c>
      <c r="AD53" s="39">
        <f>ROUND(14000+750,-1)</f>
        <v>14750</v>
      </c>
      <c r="AE53" s="39">
        <f>ROUND(4681,-1)</f>
        <v>4680</v>
      </c>
      <c r="AF53" s="39">
        <f>ROUND(4681,-1)</f>
        <v>4680</v>
      </c>
      <c r="AG53" s="39"/>
      <c r="AH53" s="39">
        <f>ROUND(6401,-1)</f>
        <v>6400</v>
      </c>
      <c r="AI53" s="39">
        <f>ROUND(26000,-1)</f>
        <v>26000</v>
      </c>
      <c r="AJ53" s="39">
        <f>ROUND(8724,-1)</f>
        <v>8720</v>
      </c>
    </row>
    <row r="54" spans="2:36" ht="15" x14ac:dyDescent="0.25">
      <c r="B54" s="33" t="s">
        <v>98</v>
      </c>
      <c r="E54" s="102">
        <v>235.6</v>
      </c>
      <c r="F54" s="102">
        <v>81</v>
      </c>
      <c r="G54" s="102">
        <v>32</v>
      </c>
      <c r="H54" s="102">
        <v>32</v>
      </c>
      <c r="I54" s="102"/>
      <c r="J54" s="102">
        <v>120</v>
      </c>
      <c r="K54" s="102">
        <v>130</v>
      </c>
      <c r="L54" s="102">
        <v>110</v>
      </c>
      <c r="M54" s="102"/>
      <c r="N54" s="102"/>
      <c r="O54" s="102"/>
      <c r="P54" s="102"/>
      <c r="Q54" s="102"/>
      <c r="S54" s="3">
        <f>ROUND((28+49),-1)</f>
        <v>80</v>
      </c>
      <c r="T54" s="3">
        <f>60+21</f>
        <v>81</v>
      </c>
      <c r="U54" s="3">
        <f>32</f>
        <v>32</v>
      </c>
      <c r="V54" s="3">
        <f>32</f>
        <v>32</v>
      </c>
      <c r="X54" s="3">
        <f>ROUND(120,-1)</f>
        <v>120</v>
      </c>
      <c r="Y54" s="12">
        <f>ROUND(133,-1)</f>
        <v>130</v>
      </c>
      <c r="Z54" s="3">
        <f>ROUND(107,-1)</f>
        <v>110</v>
      </c>
      <c r="AC54" s="39">
        <f>2.945*ROUND((28+49),-1)</f>
        <v>235.6</v>
      </c>
      <c r="AD54" s="39">
        <f>60+21</f>
        <v>81</v>
      </c>
      <c r="AE54" s="39">
        <f>32</f>
        <v>32</v>
      </c>
      <c r="AF54" s="39">
        <f>32</f>
        <v>32</v>
      </c>
      <c r="AG54" s="39"/>
      <c r="AH54" s="39">
        <f>ROUND(120,-1)</f>
        <v>120</v>
      </c>
      <c r="AI54" s="39">
        <f>ROUND(133,-1)</f>
        <v>130</v>
      </c>
      <c r="AJ54" s="39">
        <f>ROUND(107,-1)</f>
        <v>110</v>
      </c>
    </row>
    <row r="55" spans="2:36" ht="15" x14ac:dyDescent="0.25">
      <c r="F55" s="104"/>
      <c r="AC55" s="39"/>
      <c r="AD55" s="39"/>
      <c r="AE55" s="39"/>
      <c r="AF55" s="39"/>
      <c r="AG55" s="39"/>
      <c r="AH55" s="39"/>
      <c r="AI55" s="39"/>
      <c r="AJ55" s="39"/>
    </row>
    <row r="56" spans="2:36" ht="15" x14ac:dyDescent="0.25">
      <c r="B56" s="33" t="s">
        <v>121</v>
      </c>
      <c r="E56" s="111">
        <v>5990</v>
      </c>
      <c r="F56" s="111">
        <v>8450</v>
      </c>
      <c r="G56" s="111">
        <v>800</v>
      </c>
      <c r="H56" s="111">
        <v>800</v>
      </c>
      <c r="I56" s="111"/>
      <c r="J56" s="111">
        <v>4400</v>
      </c>
      <c r="K56" s="111">
        <v>9000</v>
      </c>
      <c r="L56" s="111">
        <v>4920</v>
      </c>
      <c r="M56" s="111"/>
      <c r="N56" s="111"/>
      <c r="O56" s="111"/>
      <c r="P56" s="111"/>
      <c r="Q56" s="111"/>
      <c r="R56" s="104"/>
      <c r="S56" s="104">
        <f>ROUND(5000+993,-1)</f>
        <v>5990</v>
      </c>
      <c r="T56" s="104">
        <f>ROUND(8000+450,-1)</f>
        <v>8450</v>
      </c>
      <c r="U56" s="104">
        <f>ROUND(800,-1)</f>
        <v>800</v>
      </c>
      <c r="V56" s="3">
        <f>ROUND(800,-1)</f>
        <v>800</v>
      </c>
      <c r="X56" s="3">
        <f>ROUND(4400,-1)</f>
        <v>4400</v>
      </c>
      <c r="Y56" s="12">
        <v>9000</v>
      </c>
      <c r="Z56" s="3">
        <f>ROUND(4917,-1)</f>
        <v>4920</v>
      </c>
      <c r="AC56" s="39">
        <f>ROUND(5000+993,-1)</f>
        <v>5990</v>
      </c>
      <c r="AD56" s="39">
        <f>ROUND(8000+450,-1)</f>
        <v>8450</v>
      </c>
      <c r="AE56" s="39">
        <f>ROUND(800,-1)</f>
        <v>800</v>
      </c>
      <c r="AF56" s="39">
        <f>ROUND(800,-1)</f>
        <v>800</v>
      </c>
      <c r="AG56" s="39"/>
      <c r="AH56" s="39">
        <f>ROUND(4400,-1)</f>
        <v>4400</v>
      </c>
      <c r="AI56" s="39">
        <v>9000</v>
      </c>
      <c r="AJ56" s="39">
        <f>ROUND(4917,-1)</f>
        <v>4920</v>
      </c>
    </row>
    <row r="57" spans="2:36" ht="15" x14ac:dyDescent="0.25">
      <c r="B57" s="33" t="s">
        <v>122</v>
      </c>
      <c r="E57" s="111">
        <v>147.25</v>
      </c>
      <c r="F57" s="111">
        <v>12</v>
      </c>
      <c r="G57" s="111">
        <v>6</v>
      </c>
      <c r="H57" s="111">
        <v>6</v>
      </c>
      <c r="I57" s="111"/>
      <c r="J57" s="111">
        <v>4</v>
      </c>
      <c r="K57" s="111">
        <v>15</v>
      </c>
      <c r="L57" s="111">
        <v>18</v>
      </c>
      <c r="M57" s="111"/>
      <c r="N57" s="111"/>
      <c r="O57" s="111"/>
      <c r="P57" s="111"/>
      <c r="Q57" s="111"/>
      <c r="R57" s="104"/>
      <c r="S57" s="104">
        <f>ROUND(34+13,-1)</f>
        <v>50</v>
      </c>
      <c r="T57" s="104">
        <f>1+11</f>
        <v>12</v>
      </c>
      <c r="U57" s="104">
        <f>6</f>
        <v>6</v>
      </c>
      <c r="V57" s="3">
        <f>ROUND(6,0)</f>
        <v>6</v>
      </c>
      <c r="X57" s="3">
        <v>4</v>
      </c>
      <c r="Y57" s="12">
        <v>15</v>
      </c>
      <c r="Z57" s="3">
        <v>18</v>
      </c>
      <c r="AC57" s="39">
        <f>2.945*ROUND(34+13,-1)</f>
        <v>147.25</v>
      </c>
      <c r="AD57" s="39">
        <f>1+11</f>
        <v>12</v>
      </c>
      <c r="AE57" s="39">
        <f>6</f>
        <v>6</v>
      </c>
      <c r="AF57" s="39">
        <f>ROUND(6,0)</f>
        <v>6</v>
      </c>
      <c r="AG57" s="39"/>
      <c r="AH57" s="39">
        <v>4</v>
      </c>
      <c r="AI57" s="39">
        <v>15</v>
      </c>
      <c r="AJ57" s="39">
        <v>18</v>
      </c>
    </row>
    <row r="59" spans="2:36" s="9" customFormat="1" ht="21" x14ac:dyDescent="0.35">
      <c r="B59" s="10" t="s">
        <v>51</v>
      </c>
      <c r="Y59" s="86"/>
    </row>
    <row r="60" spans="2:36" s="32" customFormat="1" ht="17.25" customHeight="1" x14ac:dyDescent="0.35">
      <c r="B60" s="31"/>
      <c r="Y60" s="87"/>
    </row>
    <row r="61" spans="2:36" s="32" customFormat="1" ht="21" x14ac:dyDescent="0.35">
      <c r="B61" s="31"/>
      <c r="C61" s="31"/>
      <c r="E61" s="113" t="s">
        <v>65</v>
      </c>
      <c r="F61" s="113" t="s">
        <v>132</v>
      </c>
      <c r="G61" s="113" t="s">
        <v>66</v>
      </c>
      <c r="H61" s="113" t="s">
        <v>68</v>
      </c>
      <c r="I61" s="113" t="s">
        <v>72</v>
      </c>
      <c r="J61" s="113" t="s">
        <v>130</v>
      </c>
      <c r="K61" s="121"/>
      <c r="L61" s="113" t="s">
        <v>71</v>
      </c>
      <c r="M61" s="113" t="s">
        <v>135</v>
      </c>
      <c r="N61" s="113" t="s">
        <v>67</v>
      </c>
      <c r="O61" s="113" t="s">
        <v>68</v>
      </c>
      <c r="S61" s="34"/>
      <c r="T61" s="34"/>
      <c r="U61" s="34"/>
      <c r="V61" s="34"/>
    </row>
    <row r="62" spans="2:36" s="32" customFormat="1" ht="15" x14ac:dyDescent="0.25">
      <c r="B62" s="41" t="s">
        <v>80</v>
      </c>
      <c r="C62" s="41"/>
      <c r="E62" s="122">
        <v>0.3</v>
      </c>
      <c r="F62" s="122">
        <v>0.3</v>
      </c>
      <c r="G62" s="122">
        <v>0.3</v>
      </c>
      <c r="H62" s="122">
        <v>0.3</v>
      </c>
      <c r="I62" s="122">
        <v>0.3</v>
      </c>
      <c r="J62" s="122">
        <v>0.3</v>
      </c>
      <c r="K62" s="121"/>
      <c r="L62" s="122">
        <v>0.3</v>
      </c>
      <c r="M62" s="122">
        <v>0.3</v>
      </c>
      <c r="N62" s="122">
        <v>0.3</v>
      </c>
      <c r="O62" s="122">
        <v>0.3</v>
      </c>
      <c r="S62" s="70"/>
      <c r="T62" s="70"/>
      <c r="U62" s="70"/>
      <c r="V62" s="70"/>
    </row>
    <row r="63" spans="2:36" s="32" customFormat="1" ht="15" x14ac:dyDescent="0.25">
      <c r="B63" s="41"/>
      <c r="C63" s="9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S63" s="58"/>
      <c r="T63" s="58"/>
      <c r="U63" s="58"/>
      <c r="V63" s="58"/>
    </row>
    <row r="64" spans="2:36" s="32" customFormat="1" ht="15" x14ac:dyDescent="0.25">
      <c r="B64" s="41" t="s">
        <v>81</v>
      </c>
      <c r="C64" s="41"/>
      <c r="D64" s="3">
        <v>2016</v>
      </c>
      <c r="E64" s="123">
        <v>120</v>
      </c>
      <c r="F64" s="123">
        <v>120</v>
      </c>
      <c r="G64" s="123">
        <v>120</v>
      </c>
      <c r="H64" s="123">
        <v>120</v>
      </c>
      <c r="I64" s="123">
        <v>120</v>
      </c>
      <c r="J64" s="123">
        <v>120</v>
      </c>
      <c r="K64" s="121">
        <v>120</v>
      </c>
      <c r="L64" s="123">
        <v>120</v>
      </c>
      <c r="M64" s="123">
        <v>120</v>
      </c>
      <c r="N64" s="123">
        <v>120</v>
      </c>
      <c r="O64" s="123">
        <v>120</v>
      </c>
      <c r="S64" s="61"/>
      <c r="T64" s="61"/>
      <c r="U64" s="61"/>
      <c r="V64" s="61"/>
    </row>
    <row r="65" spans="2:26" s="32" customFormat="1" ht="15" x14ac:dyDescent="0.25">
      <c r="B65" s="41"/>
      <c r="C65" s="41"/>
      <c r="D65" s="3">
        <v>2030</v>
      </c>
      <c r="E65" s="123">
        <v>120</v>
      </c>
      <c r="F65" s="123">
        <v>120</v>
      </c>
      <c r="G65" s="123">
        <v>120</v>
      </c>
      <c r="H65" s="123">
        <v>120</v>
      </c>
      <c r="I65" s="123">
        <v>120</v>
      </c>
      <c r="J65" s="123">
        <v>120</v>
      </c>
      <c r="K65" s="121"/>
      <c r="L65" s="123">
        <v>120</v>
      </c>
      <c r="M65" s="123">
        <v>120</v>
      </c>
      <c r="N65" s="123">
        <v>120</v>
      </c>
      <c r="O65" s="123">
        <v>120</v>
      </c>
      <c r="S65" s="61"/>
      <c r="T65" s="61"/>
      <c r="U65" s="61"/>
      <c r="V65" s="61"/>
    </row>
    <row r="66" spans="2:26" s="32" customFormat="1" ht="15" x14ac:dyDescent="0.25">
      <c r="B66" s="41"/>
      <c r="C66" s="41"/>
      <c r="D66" s="3">
        <v>2040</v>
      </c>
      <c r="E66" s="123">
        <v>120</v>
      </c>
      <c r="F66" s="123">
        <v>120</v>
      </c>
      <c r="G66" s="123">
        <v>120</v>
      </c>
      <c r="H66" s="123">
        <v>120</v>
      </c>
      <c r="I66" s="123">
        <v>120</v>
      </c>
      <c r="J66" s="123">
        <v>120</v>
      </c>
      <c r="K66" s="121"/>
      <c r="L66" s="123">
        <v>120</v>
      </c>
      <c r="M66" s="123">
        <v>120</v>
      </c>
      <c r="N66" s="123">
        <v>120</v>
      </c>
      <c r="O66" s="123">
        <v>120</v>
      </c>
      <c r="S66" s="61"/>
      <c r="T66" s="61"/>
      <c r="U66" s="61"/>
      <c r="V66" s="61"/>
    </row>
    <row r="67" spans="2:26" s="32" customFormat="1" ht="15" x14ac:dyDescent="0.25">
      <c r="B67" s="41"/>
      <c r="C67" s="41"/>
      <c r="D67" s="3">
        <v>2050</v>
      </c>
      <c r="E67" s="123">
        <v>120</v>
      </c>
      <c r="F67" s="123">
        <v>120</v>
      </c>
      <c r="G67" s="123">
        <v>120</v>
      </c>
      <c r="H67" s="123">
        <v>120</v>
      </c>
      <c r="I67" s="123">
        <v>120</v>
      </c>
      <c r="J67" s="123">
        <v>120</v>
      </c>
      <c r="K67" s="121"/>
      <c r="L67" s="123">
        <v>120</v>
      </c>
      <c r="M67" s="123">
        <v>120</v>
      </c>
      <c r="N67" s="123">
        <v>120</v>
      </c>
      <c r="O67" s="123">
        <v>120</v>
      </c>
      <c r="S67" s="61"/>
      <c r="T67" s="61"/>
      <c r="U67" s="61"/>
      <c r="V67" s="61"/>
    </row>
    <row r="68" spans="2:26" s="32" customFormat="1" ht="21" x14ac:dyDescent="0.35">
      <c r="B68" s="31"/>
      <c r="C68" s="40"/>
      <c r="D68" s="40"/>
      <c r="E68" s="40"/>
      <c r="O68" s="58"/>
      <c r="S68" s="58"/>
      <c r="T68" s="58"/>
      <c r="U68" s="58"/>
      <c r="V68" s="58"/>
      <c r="Y68" s="87"/>
    </row>
    <row r="69" spans="2:26" s="9" customFormat="1" ht="21" x14ac:dyDescent="0.35">
      <c r="B69" s="10" t="s">
        <v>70</v>
      </c>
      <c r="C69" s="10"/>
    </row>
    <row r="70" spans="2:26" s="32" customFormat="1" ht="15" x14ac:dyDescent="0.25">
      <c r="B70" s="41"/>
      <c r="C70" s="96"/>
    </row>
    <row r="71" spans="2:26" ht="15" x14ac:dyDescent="0.25">
      <c r="E71" s="113" t="s">
        <v>65</v>
      </c>
      <c r="F71" s="113" t="s">
        <v>133</v>
      </c>
      <c r="G71" s="113" t="s">
        <v>66</v>
      </c>
      <c r="H71" s="113" t="s">
        <v>68</v>
      </c>
      <c r="I71" s="113" t="s">
        <v>134</v>
      </c>
      <c r="J71" s="113" t="s">
        <v>130</v>
      </c>
      <c r="K71" s="114"/>
      <c r="L71" s="113" t="s">
        <v>71</v>
      </c>
      <c r="M71" s="113" t="s">
        <v>135</v>
      </c>
      <c r="N71" s="113" t="s">
        <v>68</v>
      </c>
      <c r="S71" s="34"/>
      <c r="T71" s="34"/>
      <c r="U71" s="34"/>
      <c r="V71" s="34"/>
      <c r="W71" s="34"/>
      <c r="X71" s="41"/>
      <c r="Y71" s="41"/>
      <c r="Z71" s="41"/>
    </row>
    <row r="72" spans="2:26" ht="15" x14ac:dyDescent="0.25">
      <c r="B72" s="41" t="s">
        <v>14</v>
      </c>
      <c r="C72" s="41"/>
      <c r="D72" s="3">
        <v>2016</v>
      </c>
      <c r="E72" s="115">
        <v>242087</v>
      </c>
      <c r="F72" s="115">
        <v>242087</v>
      </c>
      <c r="G72" s="115">
        <v>242087</v>
      </c>
      <c r="H72" s="115">
        <v>242087</v>
      </c>
      <c r="I72" s="115">
        <v>242087</v>
      </c>
      <c r="J72" s="115">
        <v>242087</v>
      </c>
      <c r="K72" s="114"/>
      <c r="L72" s="115">
        <v>242087</v>
      </c>
      <c r="M72" s="115">
        <v>242087</v>
      </c>
      <c r="N72" s="115">
        <v>242087</v>
      </c>
      <c r="S72" s="24"/>
      <c r="T72" s="24"/>
      <c r="U72" s="24"/>
      <c r="V72" s="24"/>
      <c r="W72" s="34"/>
      <c r="X72" s="41"/>
      <c r="Y72" s="41"/>
      <c r="Z72" s="41"/>
    </row>
    <row r="73" spans="2:26" ht="15" x14ac:dyDescent="0.25">
      <c r="B73" s="41"/>
      <c r="C73" s="41"/>
      <c r="D73" s="3">
        <v>2030</v>
      </c>
      <c r="E73" s="115">
        <v>343528</v>
      </c>
      <c r="F73" s="115">
        <v>343528</v>
      </c>
      <c r="G73" s="115">
        <v>343528</v>
      </c>
      <c r="H73" s="115">
        <v>343528</v>
      </c>
      <c r="I73" s="115">
        <v>343528</v>
      </c>
      <c r="J73" s="115">
        <v>343528</v>
      </c>
      <c r="K73" s="114"/>
      <c r="L73" s="115">
        <v>307352.21727246023</v>
      </c>
      <c r="M73" s="115">
        <v>307352.21727246023</v>
      </c>
      <c r="N73" s="115">
        <v>307352.21727246023</v>
      </c>
      <c r="S73" s="24"/>
      <c r="T73" s="24"/>
      <c r="U73" s="24"/>
      <c r="V73" s="24"/>
      <c r="W73" s="34"/>
      <c r="X73" s="41"/>
      <c r="Y73" s="41"/>
      <c r="Z73" s="41"/>
    </row>
    <row r="74" spans="2:26" ht="15" x14ac:dyDescent="0.25">
      <c r="D74" s="3">
        <v>2040</v>
      </c>
      <c r="E74" s="115">
        <v>428431</v>
      </c>
      <c r="F74" s="115">
        <v>428431</v>
      </c>
      <c r="G74" s="115">
        <v>428431</v>
      </c>
      <c r="H74" s="115">
        <v>428431</v>
      </c>
      <c r="I74" s="115">
        <v>428431</v>
      </c>
      <c r="J74" s="115">
        <v>428431</v>
      </c>
      <c r="K74" s="114"/>
      <c r="L74" s="115">
        <v>351563.90335474769</v>
      </c>
      <c r="M74" s="115">
        <v>351563.90335474769</v>
      </c>
      <c r="N74" s="115">
        <v>351563.90335474769</v>
      </c>
      <c r="S74" s="24"/>
      <c r="T74" s="24"/>
      <c r="U74" s="24"/>
      <c r="V74" s="24"/>
      <c r="W74" s="34"/>
      <c r="X74" s="41"/>
      <c r="Y74" s="41"/>
      <c r="Z74" s="41"/>
    </row>
    <row r="75" spans="2:26" ht="15" x14ac:dyDescent="0.25">
      <c r="D75" s="3">
        <v>2050</v>
      </c>
      <c r="E75" s="115">
        <v>521559</v>
      </c>
      <c r="F75" s="115">
        <v>521559</v>
      </c>
      <c r="G75" s="115">
        <v>521559</v>
      </c>
      <c r="H75" s="115">
        <v>521559</v>
      </c>
      <c r="I75" s="115">
        <v>521559</v>
      </c>
      <c r="J75" s="115">
        <v>521559</v>
      </c>
      <c r="K75" s="114"/>
      <c r="L75" s="115">
        <v>382252.54198093619</v>
      </c>
      <c r="M75" s="115">
        <v>382252.54198093619</v>
      </c>
      <c r="N75" s="115">
        <v>382252.54198093619</v>
      </c>
      <c r="S75" s="24"/>
      <c r="T75" s="24"/>
      <c r="U75" s="24"/>
      <c r="V75" s="24"/>
      <c r="W75" s="34"/>
      <c r="X75" s="41"/>
      <c r="Y75" s="41"/>
      <c r="Z75" s="41"/>
    </row>
    <row r="76" spans="2:26" ht="15" x14ac:dyDescent="0.25">
      <c r="E76" s="113"/>
      <c r="F76" s="113"/>
      <c r="G76" s="113"/>
      <c r="H76" s="113"/>
      <c r="I76" s="113"/>
      <c r="J76" s="113"/>
      <c r="K76" s="114"/>
      <c r="L76" s="113"/>
      <c r="M76" s="113"/>
      <c r="N76" s="113"/>
      <c r="S76" s="34"/>
      <c r="T76" s="34"/>
      <c r="U76" s="34"/>
      <c r="V76" s="34"/>
      <c r="W76" s="34"/>
      <c r="X76" s="41"/>
      <c r="Y76" s="41"/>
      <c r="Z76" s="41"/>
    </row>
    <row r="77" spans="2:26" ht="15" x14ac:dyDescent="0.25">
      <c r="E77" s="113" t="str">
        <f>E71</f>
        <v>HC-BC</v>
      </c>
      <c r="F77" s="113" t="str">
        <f t="shared" ref="F77" si="0">F71</f>
        <v>HC-UCBC</v>
      </c>
      <c r="G77" s="113" t="str">
        <f>G71</f>
        <v>HC-CB</v>
      </c>
      <c r="H77" s="113" t="str">
        <f>H71</f>
        <v>O-LC_DS</v>
      </c>
      <c r="I77" s="113" t="str">
        <f>I71</f>
        <v>DC_DS</v>
      </c>
      <c r="J77" s="113" t="s">
        <v>130</v>
      </c>
      <c r="K77" s="114"/>
      <c r="L77" s="113" t="str">
        <f t="shared" ref="L77" si="1">L71</f>
        <v>BC-LowD</v>
      </c>
      <c r="M77" s="113" t="s">
        <v>135</v>
      </c>
      <c r="N77" s="113" t="str">
        <f>N71</f>
        <v>O-LC_DS</v>
      </c>
      <c r="S77" s="34"/>
      <c r="T77" s="34"/>
      <c r="U77" s="34"/>
      <c r="V77" s="34"/>
      <c r="W77" s="34"/>
      <c r="X77" s="41"/>
      <c r="Y77" s="41"/>
      <c r="Z77" s="41"/>
    </row>
    <row r="78" spans="2:26" ht="15" x14ac:dyDescent="0.25">
      <c r="B78" s="41" t="s">
        <v>59</v>
      </c>
      <c r="C78" s="41"/>
      <c r="D78" s="3">
        <v>2016</v>
      </c>
      <c r="E78" s="115">
        <v>34700</v>
      </c>
      <c r="F78" s="115">
        <v>34700</v>
      </c>
      <c r="G78" s="115">
        <v>34700</v>
      </c>
      <c r="H78" s="115">
        <v>34700</v>
      </c>
      <c r="I78" s="115">
        <v>34700</v>
      </c>
      <c r="J78" s="115">
        <v>34700</v>
      </c>
      <c r="K78" s="114"/>
      <c r="L78" s="115">
        <v>34700</v>
      </c>
      <c r="M78" s="115">
        <v>34700</v>
      </c>
      <c r="N78" s="115">
        <v>34700</v>
      </c>
      <c r="S78" s="24"/>
      <c r="T78" s="24"/>
      <c r="U78" s="24"/>
      <c r="V78" s="24"/>
      <c r="W78" s="34"/>
      <c r="X78" s="41"/>
      <c r="Y78" s="41"/>
      <c r="Z78" s="41"/>
    </row>
    <row r="79" spans="2:26" ht="15" x14ac:dyDescent="0.25">
      <c r="B79" s="41"/>
      <c r="C79" s="41"/>
      <c r="D79" s="3">
        <v>2030</v>
      </c>
      <c r="E79" s="115">
        <v>52724</v>
      </c>
      <c r="F79" s="115">
        <v>52724</v>
      </c>
      <c r="G79" s="115">
        <v>52724</v>
      </c>
      <c r="H79" s="115">
        <v>52724</v>
      </c>
      <c r="I79" s="115">
        <v>52724</v>
      </c>
      <c r="J79" s="115">
        <v>52724</v>
      </c>
      <c r="K79" s="114"/>
      <c r="L79" s="115">
        <v>51242.666950184226</v>
      </c>
      <c r="M79" s="115">
        <v>51242.666950184226</v>
      </c>
      <c r="N79" s="115">
        <v>51242.666950184226</v>
      </c>
      <c r="S79" s="24"/>
      <c r="T79" s="24"/>
      <c r="U79" s="24"/>
      <c r="V79" s="24"/>
      <c r="W79" s="34"/>
      <c r="X79" s="41"/>
      <c r="Y79" s="41"/>
      <c r="Z79" s="41"/>
    </row>
    <row r="80" spans="2:26" ht="15" x14ac:dyDescent="0.25">
      <c r="D80" s="3">
        <v>2040</v>
      </c>
      <c r="E80" s="115">
        <v>70777</v>
      </c>
      <c r="F80" s="115">
        <v>70777</v>
      </c>
      <c r="G80" s="115">
        <v>70777</v>
      </c>
      <c r="H80" s="115">
        <v>70777</v>
      </c>
      <c r="I80" s="115">
        <v>70777</v>
      </c>
      <c r="J80" s="115">
        <v>70777</v>
      </c>
      <c r="K80" s="114"/>
      <c r="L80" s="115">
        <v>58078.519966433283</v>
      </c>
      <c r="M80" s="115">
        <v>58078.519966433283</v>
      </c>
      <c r="N80" s="115">
        <v>58078.519966433283</v>
      </c>
      <c r="S80" s="24"/>
      <c r="T80" s="24"/>
      <c r="U80" s="24"/>
      <c r="V80" s="24"/>
      <c r="W80" s="34"/>
      <c r="X80" s="41"/>
      <c r="Y80" s="41"/>
      <c r="Z80" s="41"/>
    </row>
    <row r="81" spans="2:26" ht="15" x14ac:dyDescent="0.25">
      <c r="D81" s="3">
        <v>2050</v>
      </c>
      <c r="E81" s="115">
        <v>85804</v>
      </c>
      <c r="F81" s="115">
        <v>85804</v>
      </c>
      <c r="G81" s="115">
        <v>85804</v>
      </c>
      <c r="H81" s="115">
        <v>85804</v>
      </c>
      <c r="I81" s="115">
        <v>85804</v>
      </c>
      <c r="J81" s="115">
        <v>85804</v>
      </c>
      <c r="K81" s="114"/>
      <c r="L81" s="115">
        <v>62886.072548134056</v>
      </c>
      <c r="M81" s="115">
        <v>62886.072548134056</v>
      </c>
      <c r="N81" s="115">
        <v>62886.072548134056</v>
      </c>
      <c r="S81" s="24"/>
      <c r="T81" s="24"/>
      <c r="U81" s="24"/>
      <c r="V81" s="24"/>
      <c r="W81" s="34"/>
      <c r="X81" s="41"/>
      <c r="Y81" s="41"/>
      <c r="Z81" s="41"/>
    </row>
    <row r="82" spans="2:26" ht="15" x14ac:dyDescent="0.25">
      <c r="E82" s="113"/>
      <c r="F82" s="113"/>
      <c r="G82" s="113"/>
      <c r="H82" s="113"/>
      <c r="I82" s="113"/>
      <c r="J82" s="113"/>
      <c r="K82" s="114"/>
      <c r="L82" s="113"/>
      <c r="M82" s="113"/>
      <c r="N82" s="113"/>
      <c r="S82" s="34"/>
      <c r="T82" s="34"/>
      <c r="U82" s="34"/>
      <c r="V82" s="34"/>
      <c r="W82" s="34"/>
      <c r="X82" s="41"/>
      <c r="Y82" s="41"/>
      <c r="Z82" s="41"/>
    </row>
    <row r="83" spans="2:26" ht="15" x14ac:dyDescent="0.25">
      <c r="E83" s="113" t="str">
        <f>E77</f>
        <v>HC-BC</v>
      </c>
      <c r="F83" s="113" t="str">
        <f t="shared" ref="F83" si="2">F77</f>
        <v>HC-UCBC</v>
      </c>
      <c r="G83" s="113" t="str">
        <f>G77</f>
        <v>HC-CB</v>
      </c>
      <c r="H83" s="113" t="str">
        <f>H77</f>
        <v>O-LC_DS</v>
      </c>
      <c r="I83" s="113" t="str">
        <f>I77</f>
        <v>DC_DS</v>
      </c>
      <c r="J83" s="113" t="s">
        <v>130</v>
      </c>
      <c r="K83" s="114"/>
      <c r="L83" s="113" t="str">
        <f t="shared" ref="L83" si="3">L77</f>
        <v>BC-LowD</v>
      </c>
      <c r="M83" s="113" t="s">
        <v>135</v>
      </c>
      <c r="N83" s="113" t="str">
        <f>N77</f>
        <v>O-LC_DS</v>
      </c>
      <c r="S83" s="34"/>
      <c r="T83" s="34"/>
      <c r="U83" s="34"/>
      <c r="V83" s="34"/>
      <c r="W83" s="34"/>
      <c r="X83" s="41"/>
      <c r="Y83" s="41"/>
      <c r="Z83" s="41"/>
    </row>
    <row r="84" spans="2:26" ht="15" x14ac:dyDescent="0.25">
      <c r="B84" s="41" t="s">
        <v>82</v>
      </c>
      <c r="C84" s="41"/>
      <c r="D84" s="3">
        <v>2016</v>
      </c>
      <c r="E84" s="116">
        <f>'HC-BC'!T22</f>
        <v>49647.6</v>
      </c>
      <c r="F84" s="116">
        <f>'HC-UCBC'!T22</f>
        <v>49647.6</v>
      </c>
      <c r="G84" s="116">
        <f>'HC-CB'!T22</f>
        <v>49647.6</v>
      </c>
      <c r="H84" s="116">
        <f>'O-LC_DS'!T22</f>
        <v>49647.6</v>
      </c>
      <c r="I84" s="116">
        <f>'O-DC_DS'!T22</f>
        <v>49647.6</v>
      </c>
      <c r="J84" s="116">
        <f>'O-LC_DS-Exp'!T22</f>
        <v>49647.6</v>
      </c>
      <c r="K84" s="114"/>
      <c r="L84" s="116">
        <f>'O-BC-LowD'!T22</f>
        <v>49647.6</v>
      </c>
      <c r="M84" s="116">
        <f>'O-UCBC-LowD'!T22</f>
        <v>49647.6</v>
      </c>
      <c r="N84" s="116">
        <f>'O-LC_DS-LowD'!T22</f>
        <v>49647.6</v>
      </c>
      <c r="S84" s="105"/>
      <c r="T84" s="105"/>
      <c r="U84" s="105"/>
      <c r="V84" s="105"/>
      <c r="W84" s="34"/>
      <c r="X84" s="41"/>
      <c r="Y84" s="41"/>
      <c r="Z84" s="41"/>
    </row>
    <row r="85" spans="2:26" ht="15" x14ac:dyDescent="0.25">
      <c r="B85" s="41"/>
      <c r="C85" s="41"/>
      <c r="D85" s="3">
        <v>2030</v>
      </c>
      <c r="E85" s="116">
        <f>'HC-BC'!T23</f>
        <v>83462.600000000006</v>
      </c>
      <c r="F85" s="116">
        <f>'HC-UCBC'!T23</f>
        <v>96174.6</v>
      </c>
      <c r="G85" s="116">
        <f>'HC-CB'!T23</f>
        <v>96294.6</v>
      </c>
      <c r="H85" s="116">
        <f>'O-LC_DS'!T23</f>
        <v>98966.6</v>
      </c>
      <c r="I85" s="116">
        <f>'O-DC_DS'!T23</f>
        <v>117829.6</v>
      </c>
      <c r="J85" s="116">
        <f>'O-LC_DS-Exp'!T23</f>
        <v>108888.6</v>
      </c>
      <c r="K85" s="114"/>
      <c r="L85" s="116">
        <f>'O-BC-LowD'!T23</f>
        <v>74171.600000000006</v>
      </c>
      <c r="M85" s="116">
        <f>'O-UCBC-LowD'!T23</f>
        <v>75839.600000000006</v>
      </c>
      <c r="N85" s="116">
        <f>'O-LC_DS-LowD'!T23</f>
        <v>81462.600000000006</v>
      </c>
      <c r="S85" s="105"/>
      <c r="T85" s="105"/>
      <c r="U85" s="105"/>
      <c r="V85" s="105"/>
      <c r="W85" s="34"/>
      <c r="X85" s="41"/>
      <c r="Y85" s="41"/>
      <c r="Z85" s="41"/>
    </row>
    <row r="86" spans="2:26" ht="15" x14ac:dyDescent="0.25">
      <c r="D86" s="3">
        <v>2040</v>
      </c>
      <c r="E86" s="116">
        <f>'HC-BC'!T24</f>
        <v>109734.6</v>
      </c>
      <c r="F86" s="116">
        <f>'HC-UCBC'!T24</f>
        <v>141886.6</v>
      </c>
      <c r="G86" s="116">
        <f>'HC-CB'!T24</f>
        <v>127065.60000000001</v>
      </c>
      <c r="H86" s="116">
        <f>'O-LC_DS'!T24</f>
        <v>176358.6</v>
      </c>
      <c r="I86" s="116">
        <f>'O-DC_DS'!T24</f>
        <v>190740.6</v>
      </c>
      <c r="J86" s="116">
        <f>'O-LC_DS-Exp'!T24</f>
        <v>224123.6</v>
      </c>
      <c r="K86" s="114"/>
      <c r="L86" s="116">
        <f>'O-BC-LowD'!T24</f>
        <v>93038.6</v>
      </c>
      <c r="M86" s="116">
        <f>'O-UCBC-LowD'!T24</f>
        <v>117720.6</v>
      </c>
      <c r="N86" s="116">
        <f>'O-LC_DS-LowD'!T24</f>
        <v>137096.6</v>
      </c>
      <c r="S86" s="105"/>
      <c r="T86" s="105"/>
      <c r="U86" s="105"/>
      <c r="V86" s="105"/>
      <c r="W86" s="34"/>
      <c r="X86" s="41"/>
      <c r="Y86" s="41"/>
      <c r="Z86" s="41"/>
    </row>
    <row r="87" spans="2:26" ht="15" x14ac:dyDescent="0.25">
      <c r="D87" s="3">
        <v>2050</v>
      </c>
      <c r="E87" s="116">
        <f>'HC-BC'!T25</f>
        <v>136177.60000000001</v>
      </c>
      <c r="F87" s="116">
        <f>'HC-UCBC'!T25</f>
        <v>176794.6</v>
      </c>
      <c r="G87" s="116">
        <f>'HC-CB'!T25</f>
        <v>149517.6</v>
      </c>
      <c r="H87" s="116">
        <f>'O-LC_DS'!T25</f>
        <v>237467.6</v>
      </c>
      <c r="I87" s="116">
        <f>'O-DC_DS'!T25</f>
        <v>250891.6</v>
      </c>
      <c r="J87" s="116">
        <f>'O-LC_DS-Exp'!T25</f>
        <v>317410.59999999998</v>
      </c>
      <c r="K87" s="114"/>
      <c r="L87" s="116">
        <f>'O-BC-LowD'!T25</f>
        <v>108338.6</v>
      </c>
      <c r="M87" s="116">
        <f>'O-UCBC-LowD'!T25</f>
        <v>145492.6</v>
      </c>
      <c r="N87" s="116">
        <f>'O-LC_DS-LowD'!T25</f>
        <v>172048.6</v>
      </c>
      <c r="S87" s="105"/>
      <c r="T87" s="105"/>
      <c r="U87" s="105"/>
      <c r="V87" s="105"/>
      <c r="W87" s="34"/>
      <c r="X87" s="41"/>
      <c r="Y87" s="41"/>
      <c r="Z87" s="41"/>
    </row>
    <row r="88" spans="2:26" ht="15" x14ac:dyDescent="0.25">
      <c r="E88" s="117"/>
      <c r="F88" s="117"/>
      <c r="G88" s="117"/>
      <c r="H88" s="117"/>
      <c r="I88" s="117"/>
      <c r="J88" s="117"/>
      <c r="K88" s="114"/>
      <c r="L88" s="117"/>
      <c r="M88" s="117"/>
      <c r="N88" s="117"/>
      <c r="S88" s="106"/>
      <c r="T88" s="106"/>
      <c r="U88" s="106"/>
      <c r="V88" s="106"/>
      <c r="W88" s="34"/>
      <c r="X88" s="41"/>
      <c r="Y88" s="41"/>
      <c r="Z88" s="41"/>
    </row>
    <row r="89" spans="2:26" ht="15" x14ac:dyDescent="0.25">
      <c r="E89" s="113" t="str">
        <f>E83</f>
        <v>HC-BC</v>
      </c>
      <c r="F89" s="113" t="str">
        <f t="shared" ref="F89" si="4">F83</f>
        <v>HC-UCBC</v>
      </c>
      <c r="G89" s="113" t="str">
        <f>G83</f>
        <v>HC-CB</v>
      </c>
      <c r="H89" s="113" t="str">
        <f>H83</f>
        <v>O-LC_DS</v>
      </c>
      <c r="I89" s="113" t="str">
        <f>I83</f>
        <v>DC_DS</v>
      </c>
      <c r="J89" s="113" t="s">
        <v>130</v>
      </c>
      <c r="K89" s="114"/>
      <c r="L89" s="113" t="str">
        <f t="shared" ref="L89:M89" si="5">L83</f>
        <v>BC-LowD</v>
      </c>
      <c r="M89" s="113" t="str">
        <f t="shared" si="5"/>
        <v>O-UCBC-LowD</v>
      </c>
      <c r="N89" s="113" t="str">
        <f>N83</f>
        <v>O-LC_DS</v>
      </c>
      <c r="S89" s="34"/>
      <c r="T89" s="34"/>
      <c r="U89" s="34"/>
      <c r="V89" s="34"/>
      <c r="W89" s="34"/>
      <c r="X89" s="41"/>
      <c r="Y89" s="41"/>
      <c r="Z89" s="41"/>
    </row>
    <row r="90" spans="2:26" ht="15" x14ac:dyDescent="0.25">
      <c r="B90" s="41" t="s">
        <v>83</v>
      </c>
      <c r="C90" s="41"/>
      <c r="D90" s="3">
        <v>2016</v>
      </c>
      <c r="E90" s="116">
        <f>'HC-BC'!T52</f>
        <v>245932.52818611186</v>
      </c>
      <c r="F90" s="116">
        <f>'HC-UCBC'!T52</f>
        <v>240199.29804183645</v>
      </c>
      <c r="G90" s="116">
        <f>'HC-CB'!T52</f>
        <v>240199.29804183645</v>
      </c>
      <c r="H90" s="116">
        <f>'O-LC_DS'!T52</f>
        <v>240199.29804183645</v>
      </c>
      <c r="I90" s="116">
        <f>'O-DC_DS'!T52</f>
        <v>240199.29804183645</v>
      </c>
      <c r="J90" s="116">
        <f>'O-LC_DS-Exp'!T52</f>
        <v>240199.29804183645</v>
      </c>
      <c r="K90" s="114"/>
      <c r="L90" s="116">
        <f>'O-BC-LowD'!T52</f>
        <v>245932.52818611186</v>
      </c>
      <c r="M90" s="116">
        <f>'O-UCBC-LowD'!T52</f>
        <v>245932.52818611186</v>
      </c>
      <c r="N90" s="116">
        <f>'O-LC_DS-LowD'!T52</f>
        <v>245932.52818611186</v>
      </c>
      <c r="S90" s="105"/>
      <c r="T90" s="105"/>
      <c r="U90" s="105"/>
      <c r="V90" s="105"/>
      <c r="W90" s="34"/>
      <c r="X90" s="41"/>
      <c r="Y90" s="41"/>
      <c r="Z90" s="41"/>
    </row>
    <row r="91" spans="2:26" ht="15" x14ac:dyDescent="0.25">
      <c r="B91" s="41"/>
      <c r="C91" s="41"/>
      <c r="D91" s="3">
        <v>2030</v>
      </c>
      <c r="E91" s="116">
        <f>'HC-BC'!T53</f>
        <v>350221.9484155461</v>
      </c>
      <c r="F91" s="116">
        <f>'HC-UCBC'!T53</f>
        <v>350148.77324006101</v>
      </c>
      <c r="G91" s="116">
        <f>'HC-CB'!T53</f>
        <v>349972.81237414293</v>
      </c>
      <c r="H91" s="116">
        <f>'O-LC_DS'!T53</f>
        <v>351060.40198493324</v>
      </c>
      <c r="I91" s="116">
        <f>'O-DC_DS'!T53</f>
        <v>352185.29028575408</v>
      </c>
      <c r="J91" s="116">
        <f>'O-LC_DS-Exp'!T53</f>
        <v>365300.20842360321</v>
      </c>
      <c r="K91" s="114"/>
      <c r="L91" s="116">
        <f>'O-BC-LowD'!T53</f>
        <v>314525.9296451296</v>
      </c>
      <c r="M91" s="116">
        <f>'O-UCBC-LowD'!T53</f>
        <v>314811.90268555767</v>
      </c>
      <c r="N91" s="116">
        <f>'O-LC_DS-LowD'!T53</f>
        <v>314681.61681849917</v>
      </c>
      <c r="S91" s="105"/>
      <c r="T91" s="105"/>
      <c r="U91" s="105"/>
      <c r="V91" s="105"/>
      <c r="W91" s="34"/>
      <c r="X91" s="41"/>
      <c r="Y91" s="41"/>
      <c r="Z91" s="41"/>
    </row>
    <row r="92" spans="2:26" ht="15" x14ac:dyDescent="0.25">
      <c r="D92" s="3">
        <v>2040</v>
      </c>
      <c r="E92" s="116">
        <f>'HC-BC'!T54</f>
        <v>434515.26737160189</v>
      </c>
      <c r="F92" s="116">
        <f>'HC-UCBC'!T54</f>
        <v>434402.62727498717</v>
      </c>
      <c r="G92" s="116">
        <f>'HC-CB'!T54</f>
        <v>435203.25816182618</v>
      </c>
      <c r="H92" s="116">
        <f>'O-LC_DS'!T54</f>
        <v>436480.83346230839</v>
      </c>
      <c r="I92" s="116">
        <f>'O-DC_DS'!T54</f>
        <v>437187.15613115043</v>
      </c>
      <c r="J92" s="116">
        <f>'O-LC_DS-Exp'!T54</f>
        <v>480562.51604246546</v>
      </c>
      <c r="K92" s="114"/>
      <c r="L92" s="116">
        <f>'O-BC-LowD'!T54</f>
        <v>358603.27367639384</v>
      </c>
      <c r="M92" s="116">
        <f>'O-UCBC-LowD'!T54</f>
        <v>358852.45112027723</v>
      </c>
      <c r="N92" s="116">
        <f>'O-LC_DS-LowD'!T54</f>
        <v>359437.93472272699</v>
      </c>
      <c r="S92" s="105"/>
      <c r="T92" s="105"/>
      <c r="U92" s="105"/>
      <c r="V92" s="105"/>
      <c r="W92" s="34"/>
      <c r="X92" s="41"/>
      <c r="Y92" s="41"/>
      <c r="Z92" s="41"/>
    </row>
    <row r="93" spans="2:26" ht="15" x14ac:dyDescent="0.25">
      <c r="D93" s="3">
        <v>2050</v>
      </c>
      <c r="E93" s="116">
        <f>'HC-BC'!T55</f>
        <v>527750.71796077886</v>
      </c>
      <c r="F93" s="116">
        <f>'HC-UCBC'!T55</f>
        <v>526929.3055120809</v>
      </c>
      <c r="G93" s="116">
        <f>'HC-CB'!T55</f>
        <v>526955.92024835874</v>
      </c>
      <c r="H93" s="116">
        <f>'O-LC_DS'!T55</f>
        <v>529343.93691061623</v>
      </c>
      <c r="I93" s="116">
        <f>'O-DC_DS'!T55</f>
        <v>532070.9896577613</v>
      </c>
      <c r="J93" s="116">
        <f>'O-LC_DS-Exp'!T55</f>
        <v>589652.29311140114</v>
      </c>
      <c r="K93" s="114"/>
      <c r="L93" s="116">
        <f>'O-BC-LowD'!T55</f>
        <v>389198.68824271281</v>
      </c>
      <c r="M93" s="116">
        <f>'O-UCBC-LowD'!T55</f>
        <v>389602.66298288555</v>
      </c>
      <c r="N93" s="116">
        <f>'O-LC_DS-LowD'!T55</f>
        <v>390142.36512337619</v>
      </c>
      <c r="S93" s="105"/>
      <c r="T93" s="105"/>
      <c r="U93" s="105"/>
      <c r="V93" s="105"/>
      <c r="W93" s="34"/>
      <c r="X93" s="41"/>
      <c r="Y93" s="41"/>
      <c r="Z93" s="41"/>
    </row>
    <row r="94" spans="2:26" ht="15" x14ac:dyDescent="0.25">
      <c r="E94" s="113"/>
      <c r="F94" s="113"/>
      <c r="G94" s="113"/>
      <c r="H94" s="113"/>
      <c r="I94" s="113"/>
      <c r="J94" s="113"/>
      <c r="K94" s="114"/>
      <c r="L94" s="113"/>
      <c r="M94" s="113"/>
      <c r="N94" s="113"/>
      <c r="S94" s="28"/>
      <c r="T94" s="28"/>
      <c r="U94" s="28"/>
      <c r="V94" s="28"/>
      <c r="W94" s="34"/>
      <c r="X94" s="41"/>
      <c r="Y94" s="41"/>
      <c r="Z94" s="41"/>
    </row>
    <row r="95" spans="2:26" ht="15" x14ac:dyDescent="0.25">
      <c r="E95" s="113" t="str">
        <f>E89</f>
        <v>HC-BC</v>
      </c>
      <c r="F95" s="113" t="str">
        <f t="shared" ref="F95" si="6">F89</f>
        <v>HC-UCBC</v>
      </c>
      <c r="G95" s="113" t="str">
        <f>G89</f>
        <v>HC-CB</v>
      </c>
      <c r="H95" s="113" t="str">
        <f>H89</f>
        <v>O-LC_DS</v>
      </c>
      <c r="I95" s="113" t="str">
        <f>I89</f>
        <v>DC_DS</v>
      </c>
      <c r="J95" s="113" t="s">
        <v>130</v>
      </c>
      <c r="K95" s="114"/>
      <c r="L95" s="113" t="str">
        <f t="shared" ref="L95:M95" si="7">L89</f>
        <v>BC-LowD</v>
      </c>
      <c r="M95" s="113" t="str">
        <f t="shared" si="7"/>
        <v>O-UCBC-LowD</v>
      </c>
      <c r="N95" s="113" t="str">
        <f>N89</f>
        <v>O-LC_DS</v>
      </c>
      <c r="S95" s="34"/>
      <c r="T95" s="34"/>
      <c r="U95" s="34"/>
      <c r="V95" s="34"/>
      <c r="W95" s="34"/>
      <c r="X95" s="41"/>
      <c r="Y95" s="41"/>
      <c r="Z95" s="41"/>
    </row>
    <row r="96" spans="2:26" ht="15" x14ac:dyDescent="0.25">
      <c r="B96" s="41" t="s">
        <v>15</v>
      </c>
      <c r="C96" s="41"/>
      <c r="D96" s="3">
        <v>2016</v>
      </c>
      <c r="E96" s="118">
        <f>'HC-BC'!X52</f>
        <v>0.10520327238276848</v>
      </c>
      <c r="F96" s="118">
        <f>'HC-UCBC'!X52</f>
        <v>0.10273922781756209</v>
      </c>
      <c r="G96" s="118">
        <f>'HC-CB'!X52</f>
        <v>0.10273922781756209</v>
      </c>
      <c r="H96" s="118">
        <f>'O-LC_DS'!X52</f>
        <v>0.10273922781756209</v>
      </c>
      <c r="I96" s="118">
        <f>'O-DC_DS'!X52</f>
        <v>0.10273922781756209</v>
      </c>
      <c r="J96" s="118">
        <f>'O-LC_DS-Exp'!X52</f>
        <v>0.10273922781756209</v>
      </c>
      <c r="K96" s="114"/>
      <c r="L96" s="118">
        <f>'O-BC-LowD'!X52</f>
        <v>0.10355825961360367</v>
      </c>
      <c r="M96" s="118">
        <f>'O-UCBC-LowD'!X52</f>
        <v>0.10355825961360367</v>
      </c>
      <c r="N96" s="118">
        <f>'O-LC_DS-LowD'!X52</f>
        <v>0.10355825961360367</v>
      </c>
      <c r="S96" s="28"/>
      <c r="T96" s="28"/>
      <c r="U96" s="28"/>
      <c r="V96" s="28"/>
      <c r="W96" s="34"/>
      <c r="X96" s="41"/>
      <c r="Y96" s="41"/>
      <c r="Z96" s="41"/>
    </row>
    <row r="97" spans="2:26" ht="15" x14ac:dyDescent="0.25">
      <c r="B97" s="41"/>
      <c r="C97" s="41"/>
      <c r="D97" s="3">
        <v>2030</v>
      </c>
      <c r="E97" s="118">
        <f>'HC-BC'!X53</f>
        <v>0.22433054134816488</v>
      </c>
      <c r="F97" s="118">
        <f>'HC-UCBC'!X53</f>
        <v>0.32011572228194629</v>
      </c>
      <c r="G97" s="118">
        <f>'HC-CB'!X53</f>
        <v>0.33682462600003676</v>
      </c>
      <c r="H97" s="118">
        <f>'O-LC_DS'!X53</f>
        <v>0.37233603901965534</v>
      </c>
      <c r="I97" s="118">
        <f>'O-DC_DS'!X53</f>
        <v>0.53920240884669302</v>
      </c>
      <c r="J97" s="118">
        <f>'O-LC_DS-Exp'!X53</f>
        <v>0.38344734976992784</v>
      </c>
      <c r="K97" s="114"/>
      <c r="L97" s="118">
        <f>'O-BC-LowD'!X53</f>
        <v>0.22502156528281325</v>
      </c>
      <c r="M97" s="118">
        <f>'O-UCBC-LowD'!X53</f>
        <v>0.25983333549331916</v>
      </c>
      <c r="N97" s="118">
        <f>'O-LC_DS-LowD'!X53</f>
        <v>0.3018971278916372</v>
      </c>
      <c r="S97" s="28"/>
      <c r="T97" s="28"/>
      <c r="U97" s="28"/>
      <c r="V97" s="28"/>
      <c r="W97" s="34"/>
      <c r="X97" s="41"/>
      <c r="Y97" s="41"/>
      <c r="Z97" s="41"/>
    </row>
    <row r="98" spans="2:26" ht="15" x14ac:dyDescent="0.25">
      <c r="D98" s="3">
        <v>2040</v>
      </c>
      <c r="E98" s="118">
        <f>'HC-BC'!X54</f>
        <v>0.2941938221168765</v>
      </c>
      <c r="F98" s="118">
        <f>'HC-UCBC'!X54</f>
        <v>0.4811031682780067</v>
      </c>
      <c r="G98" s="118">
        <f>'HC-CB'!X54</f>
        <v>0.40920169910843895</v>
      </c>
      <c r="H98" s="118">
        <f>'O-LC_DS'!X54</f>
        <v>0.66135547080847135</v>
      </c>
      <c r="I98" s="118">
        <f>'O-DC_DS'!X54</f>
        <v>0.73644711197896151</v>
      </c>
      <c r="J98" s="118">
        <f>'O-LC_DS-Exp'!X54</f>
        <v>0.75192052027771639</v>
      </c>
      <c r="K98" s="114"/>
      <c r="L98" s="118">
        <f>'O-BC-LowD'!X54</f>
        <v>0.35180336224351205</v>
      </c>
      <c r="M98" s="118">
        <f>'O-UCBC-LowD'!X54</f>
        <v>0.55040171937571891</v>
      </c>
      <c r="N98" s="118">
        <f>'O-LC_DS-LowD'!X54</f>
        <v>0.60318843981023573</v>
      </c>
      <c r="S98" s="28"/>
      <c r="T98" s="28"/>
      <c r="U98" s="28"/>
      <c r="V98" s="28"/>
      <c r="W98" s="34"/>
      <c r="X98" s="41"/>
      <c r="Y98" s="41"/>
      <c r="Z98" s="41"/>
    </row>
    <row r="99" spans="2:26" ht="15" x14ac:dyDescent="0.25">
      <c r="D99" s="3">
        <v>2050</v>
      </c>
      <c r="E99" s="118">
        <f>'HC-BC'!X55</f>
        <v>0.29220350444561499</v>
      </c>
      <c r="F99" s="118">
        <f>'HC-UCBC'!X55</f>
        <v>0.50961069917941115</v>
      </c>
      <c r="G99" s="118">
        <f>'HC-CB'!X55</f>
        <v>0.35348588287047444</v>
      </c>
      <c r="H99" s="118">
        <f>'O-LC_DS'!X55</f>
        <v>0.75942883870666034</v>
      </c>
      <c r="I99" s="118">
        <f>'O-DC_DS'!X55</f>
        <v>0.94089963290820988</v>
      </c>
      <c r="J99" s="118">
        <f>'O-LC_DS-Exp'!X55</f>
        <v>0.86221032312635604</v>
      </c>
      <c r="K99" s="114"/>
      <c r="L99" s="118">
        <f>'O-BC-LowD'!X55</f>
        <v>0.39260444611788337</v>
      </c>
      <c r="M99" s="118">
        <f>'O-UCBC-LowD'!X55</f>
        <v>0.64480032180461333</v>
      </c>
      <c r="N99" s="118">
        <f>'O-LC_DS-LowD'!X55</f>
        <v>0.71465388839182076</v>
      </c>
      <c r="S99" s="28"/>
      <c r="T99" s="28"/>
      <c r="U99" s="28"/>
      <c r="V99" s="28"/>
      <c r="W99" s="34"/>
      <c r="X99" s="41"/>
      <c r="Y99" s="41"/>
      <c r="Z99" s="41"/>
    </row>
    <row r="100" spans="2:26" ht="15" x14ac:dyDescent="0.25">
      <c r="E100" s="113"/>
      <c r="F100" s="113"/>
      <c r="G100" s="113"/>
      <c r="H100" s="113"/>
      <c r="I100" s="113"/>
      <c r="J100" s="113"/>
      <c r="K100" s="114"/>
      <c r="L100" s="113"/>
      <c r="M100" s="113"/>
      <c r="N100" s="113"/>
      <c r="S100" s="34"/>
      <c r="T100" s="34"/>
      <c r="U100" s="34"/>
      <c r="V100" s="34"/>
      <c r="W100" s="34"/>
      <c r="X100" s="41"/>
      <c r="Y100" s="41"/>
      <c r="Z100" s="41"/>
    </row>
    <row r="101" spans="2:26" ht="15" x14ac:dyDescent="0.25">
      <c r="E101" s="113" t="str">
        <f>E95</f>
        <v>HC-BC</v>
      </c>
      <c r="F101" s="113" t="str">
        <f t="shared" ref="F101" si="8">F95</f>
        <v>HC-UCBC</v>
      </c>
      <c r="G101" s="113" t="str">
        <f>G95</f>
        <v>HC-CB</v>
      </c>
      <c r="H101" s="113" t="str">
        <f>H95</f>
        <v>O-LC_DS</v>
      </c>
      <c r="I101" s="113" t="str">
        <f>I95</f>
        <v>DC_DS</v>
      </c>
      <c r="J101" s="113" t="s">
        <v>130</v>
      </c>
      <c r="K101" s="114"/>
      <c r="L101" s="113" t="str">
        <f t="shared" ref="L101:M101" si="9">L95</f>
        <v>BC-LowD</v>
      </c>
      <c r="M101" s="113" t="str">
        <f t="shared" si="9"/>
        <v>O-UCBC-LowD</v>
      </c>
      <c r="N101" s="113" t="str">
        <f>N95</f>
        <v>O-LC_DS</v>
      </c>
      <c r="S101" s="34"/>
      <c r="T101" s="34"/>
      <c r="U101" s="34"/>
      <c r="V101" s="34"/>
      <c r="W101" s="34"/>
      <c r="X101" s="41"/>
      <c r="Y101" s="41"/>
      <c r="Z101" s="41"/>
    </row>
    <row r="102" spans="2:26" ht="15" x14ac:dyDescent="0.25">
      <c r="B102" s="41" t="s">
        <v>87</v>
      </c>
      <c r="C102" s="41"/>
      <c r="D102" s="3">
        <v>2016</v>
      </c>
      <c r="E102" s="119">
        <f>'HC-BC'!T212</f>
        <v>130.00039349002947</v>
      </c>
      <c r="F102" s="119">
        <f>'HC-UCBC'!T212</f>
        <v>127.55432703305404</v>
      </c>
      <c r="G102" s="119">
        <f>'HC-CB'!T212</f>
        <v>127.55432703305404</v>
      </c>
      <c r="H102" s="119">
        <f>'O-LC_DS'!T212</f>
        <v>127.55432703305404</v>
      </c>
      <c r="I102" s="119">
        <f>'O-DC_DS'!T212</f>
        <v>127.55432703305404</v>
      </c>
      <c r="J102" s="119">
        <f>'O-LC_DS-Exp'!T212</f>
        <v>127.55432703305404</v>
      </c>
      <c r="K102" s="114"/>
      <c r="L102" s="119">
        <f>'O-BC-LowD'!T212</f>
        <v>130.00039349002947</v>
      </c>
      <c r="M102" s="119">
        <f>'O-UCBC-LowD'!T212</f>
        <v>130.00039349002947</v>
      </c>
      <c r="N102" s="119">
        <f>'O-LC_DS-LowD'!T212</f>
        <v>130.00039349002947</v>
      </c>
      <c r="S102" s="12"/>
      <c r="T102" s="12"/>
      <c r="U102" s="12"/>
      <c r="V102" s="12"/>
      <c r="W102" s="11"/>
    </row>
    <row r="103" spans="2:26" ht="15" x14ac:dyDescent="0.25">
      <c r="B103" s="41"/>
      <c r="C103" s="41"/>
      <c r="D103" s="3">
        <v>2030</v>
      </c>
      <c r="E103" s="119">
        <f>'HC-BC'!T213</f>
        <v>281.22323215512819</v>
      </c>
      <c r="F103" s="119">
        <f>'HC-UCBC'!T213</f>
        <v>271.15083939967508</v>
      </c>
      <c r="G103" s="119">
        <f>'HC-CB'!T213</f>
        <v>300.36433000158291</v>
      </c>
      <c r="H103" s="119">
        <f>'O-LC_DS'!T213</f>
        <v>264.0599225474736</v>
      </c>
      <c r="I103" s="119">
        <f>'O-DC_DS'!T213</f>
        <v>262.27444724979347</v>
      </c>
      <c r="J103" s="119">
        <f>'O-LC_DS-Exp'!T213</f>
        <v>249.70297626995543</v>
      </c>
      <c r="K103" s="114"/>
      <c r="L103" s="119">
        <f>'O-BC-LowD'!T213</f>
        <v>242.27693211472456</v>
      </c>
      <c r="M103" s="119">
        <f>'O-UCBC-LowD'!T213</f>
        <v>241.3235817461576</v>
      </c>
      <c r="N103" s="119">
        <f>'O-LC_DS-LowD'!T213</f>
        <v>235.34545230172421</v>
      </c>
      <c r="S103" s="12"/>
      <c r="T103" s="12"/>
      <c r="U103" s="12"/>
      <c r="V103" s="12"/>
      <c r="W103" s="12"/>
      <c r="X103" s="39"/>
      <c r="Y103" s="39"/>
      <c r="Z103" s="39"/>
    </row>
    <row r="104" spans="2:26" ht="15" x14ac:dyDescent="0.25">
      <c r="B104" s="41"/>
      <c r="C104" s="41"/>
      <c r="D104" s="3">
        <v>2040</v>
      </c>
      <c r="E104" s="119">
        <f>'HC-BC'!T214</f>
        <v>406.81188201899312</v>
      </c>
      <c r="F104" s="119">
        <f>'HC-UCBC'!T214</f>
        <v>382.71686500036395</v>
      </c>
      <c r="G104" s="119">
        <f>'HC-CB'!T214</f>
        <v>401.06155653078554</v>
      </c>
      <c r="H104" s="119">
        <f>'O-LC_DS'!T214</f>
        <v>366.25616565181656</v>
      </c>
      <c r="I104" s="119">
        <f>'O-DC_DS'!T214</f>
        <v>369.55066731215811</v>
      </c>
      <c r="J104" s="119">
        <f>'O-LC_DS-Exp'!T214</f>
        <v>315.23657740222751</v>
      </c>
      <c r="K104" s="114"/>
      <c r="L104" s="119">
        <f>'O-BC-LowD'!T214</f>
        <v>323.65523156914833</v>
      </c>
      <c r="M104" s="119">
        <f>'O-UCBC-LowD'!T214</f>
        <v>311.50017616858253</v>
      </c>
      <c r="N104" s="119">
        <f>'O-LC_DS-LowD'!T214</f>
        <v>298.55550123853089</v>
      </c>
      <c r="S104" s="12"/>
      <c r="T104" s="12"/>
      <c r="U104" s="12"/>
      <c r="V104" s="12"/>
      <c r="W104" s="11"/>
    </row>
    <row r="105" spans="2:26" ht="15" x14ac:dyDescent="0.25">
      <c r="B105" s="41"/>
      <c r="C105" s="41"/>
      <c r="D105" s="3">
        <v>2050</v>
      </c>
      <c r="E105" s="119">
        <f>'HC-BC'!T215</f>
        <v>543.17898255790499</v>
      </c>
      <c r="F105" s="119">
        <f>'HC-UCBC'!T215</f>
        <v>501.62899824698349</v>
      </c>
      <c r="G105" s="119">
        <f>'HC-CB'!T215</f>
        <v>531.83478800459034</v>
      </c>
      <c r="H105" s="119">
        <f>'O-LC_DS'!T215</f>
        <v>470.36978759732085</v>
      </c>
      <c r="I105" s="119">
        <f>'O-DC_DS'!T215</f>
        <v>518.09724639680735</v>
      </c>
      <c r="J105" s="119">
        <f>'O-LC_DS-Exp'!T215</f>
        <v>372.51330086770588</v>
      </c>
      <c r="K105" s="114"/>
      <c r="L105" s="119">
        <f>'O-BC-LowD'!T215</f>
        <v>371.91367684213816</v>
      </c>
      <c r="M105" s="119">
        <f>'O-UCBC-LowD'!T215</f>
        <v>355.55729406943368</v>
      </c>
      <c r="N105" s="119">
        <f>'O-LC_DS-LowD'!T215</f>
        <v>343.45379021063997</v>
      </c>
      <c r="S105" s="12"/>
      <c r="T105" s="12"/>
      <c r="U105" s="12"/>
      <c r="V105" s="12"/>
      <c r="W105" s="11"/>
    </row>
    <row r="106" spans="2:26" ht="15" x14ac:dyDescent="0.25">
      <c r="B106" s="41"/>
      <c r="C106" s="41"/>
      <c r="E106" s="119"/>
      <c r="F106" s="114"/>
      <c r="G106" s="114"/>
      <c r="H106" s="119"/>
      <c r="I106" s="119"/>
      <c r="J106" s="119"/>
      <c r="K106" s="114"/>
      <c r="L106" s="114"/>
      <c r="M106" s="114"/>
      <c r="N106" s="119"/>
      <c r="S106" s="28"/>
      <c r="T106" s="28"/>
      <c r="U106" s="28"/>
      <c r="V106" s="28"/>
      <c r="W106" s="11"/>
    </row>
    <row r="107" spans="2:26" ht="15" x14ac:dyDescent="0.25">
      <c r="E107" s="113" t="str">
        <f>E101</f>
        <v>HC-BC</v>
      </c>
      <c r="F107" s="113" t="str">
        <f t="shared" ref="F107" si="10">F101</f>
        <v>HC-UCBC</v>
      </c>
      <c r="G107" s="113" t="str">
        <f>G101</f>
        <v>HC-CB</v>
      </c>
      <c r="H107" s="113" t="str">
        <f>H101</f>
        <v>O-LC_DS</v>
      </c>
      <c r="I107" s="113" t="str">
        <f>I101</f>
        <v>DC_DS</v>
      </c>
      <c r="J107" s="113" t="s">
        <v>130</v>
      </c>
      <c r="K107" s="114"/>
      <c r="L107" s="113" t="str">
        <f t="shared" ref="L107:M107" si="11">L101</f>
        <v>BC-LowD</v>
      </c>
      <c r="M107" s="113" t="str">
        <f t="shared" si="11"/>
        <v>O-UCBC-LowD</v>
      </c>
      <c r="N107" s="113" t="str">
        <f>N101</f>
        <v>O-LC_DS</v>
      </c>
      <c r="S107" s="34"/>
      <c r="T107" s="34"/>
      <c r="U107" s="34"/>
      <c r="V107" s="34"/>
      <c r="W107" s="34"/>
      <c r="X107" s="41"/>
      <c r="Y107" s="41"/>
      <c r="Z107" s="41"/>
    </row>
    <row r="108" spans="2:26" ht="15" x14ac:dyDescent="0.25">
      <c r="B108" s="41" t="s">
        <v>88</v>
      </c>
      <c r="C108" s="41"/>
      <c r="D108" s="3">
        <v>2016</v>
      </c>
      <c r="E108" s="119">
        <f>'HC-BC'!U212</f>
        <v>155.98922641286882</v>
      </c>
      <c r="F108" s="119">
        <f>'HC-UCBC'!U212</f>
        <v>152.9417183439752</v>
      </c>
      <c r="G108" s="119">
        <f>'HC-CB'!U212</f>
        <v>152.9417183439752</v>
      </c>
      <c r="H108" s="119">
        <f>'O-LC_DS'!U212</f>
        <v>152.9417183439752</v>
      </c>
      <c r="I108" s="119">
        <f>'O-DC_DS'!U212</f>
        <v>152.9417183439752</v>
      </c>
      <c r="J108" s="119">
        <f>'O-LC_DS-Exp'!U212</f>
        <v>152.9417183439752</v>
      </c>
      <c r="K108" s="114"/>
      <c r="L108" s="119">
        <f>'O-BC-LowD'!U212</f>
        <v>155.98922641286882</v>
      </c>
      <c r="M108" s="119">
        <f>'O-UCBC-LowD'!U212</f>
        <v>155.98922641286882</v>
      </c>
      <c r="N108" s="119">
        <f>'O-LC_DS-LowD'!U212</f>
        <v>155.98922641286882</v>
      </c>
      <c r="S108" s="12"/>
      <c r="T108" s="12"/>
      <c r="U108" s="12"/>
      <c r="V108" s="12"/>
      <c r="W108" s="11"/>
    </row>
    <row r="109" spans="2:26" ht="15" x14ac:dyDescent="0.25">
      <c r="B109" s="41"/>
      <c r="C109" s="41"/>
      <c r="D109" s="3">
        <v>2030</v>
      </c>
      <c r="E109" s="119">
        <f>'HC-BC'!U213</f>
        <v>311.32233688739541</v>
      </c>
      <c r="F109" s="119">
        <f>'HC-UCBC'!U213</f>
        <v>296.88943112200917</v>
      </c>
      <c r="G109" s="119">
        <f>'HC-CB'!U213</f>
        <v>321.4724737781325</v>
      </c>
      <c r="H109" s="119">
        <f>'O-LC_DS'!U213</f>
        <v>288.55109199160131</v>
      </c>
      <c r="I109" s="119">
        <f>'O-DC_DS'!U213</f>
        <v>279.23650210770109</v>
      </c>
      <c r="J109" s="119">
        <f>'O-LC_DS-Exp'!U213</f>
        <v>274.42909732809835</v>
      </c>
      <c r="K109" s="114"/>
      <c r="L109" s="119">
        <f>'O-BC-LowD'!U213</f>
        <v>268.7583324159711</v>
      </c>
      <c r="M109" s="119">
        <f>'O-UCBC-LowD'!U213</f>
        <v>266.77010097525408</v>
      </c>
      <c r="N109" s="119">
        <f>'O-LC_DS-LowD'!U213</f>
        <v>259.77626211199453</v>
      </c>
      <c r="S109" s="12"/>
      <c r="T109" s="12"/>
      <c r="U109" s="12"/>
      <c r="V109" s="12"/>
      <c r="W109" s="11"/>
    </row>
    <row r="110" spans="2:26" ht="15" x14ac:dyDescent="0.25">
      <c r="B110" s="41"/>
      <c r="C110" s="41"/>
      <c r="D110" s="3">
        <v>2040</v>
      </c>
      <c r="E110" s="119">
        <f>'HC-BC'!U214</f>
        <v>435.46984471072892</v>
      </c>
      <c r="F110" s="119">
        <f>'HC-UCBC'!U214</f>
        <v>402.64041069072823</v>
      </c>
      <c r="G110" s="119">
        <f>'HC-CB'!U214</f>
        <v>414.59748165850698</v>
      </c>
      <c r="H110" s="119">
        <f>'O-LC_DS'!U214</f>
        <v>379.82822100511896</v>
      </c>
      <c r="I110" s="119">
        <f>'O-DC_DS'!U214</f>
        <v>378.13951033020805</v>
      </c>
      <c r="J110" s="119">
        <f>'O-LC_DS-Exp'!U214</f>
        <v>326.21420356452285</v>
      </c>
      <c r="K110" s="114"/>
      <c r="L110" s="119">
        <f>'O-BC-LowD'!U214</f>
        <v>346.75471028312853</v>
      </c>
      <c r="M110" s="119">
        <f>'O-UCBC-LowD'!U214</f>
        <v>326.09227726805648</v>
      </c>
      <c r="N110" s="119">
        <f>'O-LC_DS-LowD'!U214</f>
        <v>311.71629661216463</v>
      </c>
      <c r="S110" s="12"/>
      <c r="T110" s="12"/>
      <c r="U110" s="12"/>
      <c r="V110" s="12"/>
      <c r="W110" s="11"/>
    </row>
    <row r="111" spans="2:26" ht="15" x14ac:dyDescent="0.25">
      <c r="B111" s="41"/>
      <c r="C111" s="41"/>
      <c r="D111" s="3">
        <v>2050</v>
      </c>
      <c r="E111" s="119">
        <f>'HC-BC'!U215</f>
        <v>565.61456031812327</v>
      </c>
      <c r="F111" s="119">
        <f>'HC-UCBC'!U215</f>
        <v>522.47322964322461</v>
      </c>
      <c r="G111" s="119">
        <f>'HC-CB'!U215</f>
        <v>543.66399379624909</v>
      </c>
      <c r="H111" s="119">
        <f>'O-LC_DS'!U215</f>
        <v>480.64598711486565</v>
      </c>
      <c r="I111" s="119">
        <f>'O-DC_DS'!U215</f>
        <v>519.65546957689548</v>
      </c>
      <c r="J111" s="119">
        <f>'O-LC_DS-Exp'!U215</f>
        <v>379.70747932241295</v>
      </c>
      <c r="K111" s="114"/>
      <c r="L111" s="119">
        <f>'O-BC-LowD'!U215</f>
        <v>396.39989387959042</v>
      </c>
      <c r="M111" s="119">
        <f>'O-UCBC-LowD'!U215</f>
        <v>368.02669476919249</v>
      </c>
      <c r="N111" s="119">
        <f>'O-LC_DS-LowD'!U215</f>
        <v>352.73113644948512</v>
      </c>
      <c r="S111" s="12"/>
      <c r="T111" s="12"/>
      <c r="U111" s="12"/>
      <c r="V111" s="12"/>
      <c r="W111" s="11"/>
    </row>
    <row r="112" spans="2:26" ht="15" x14ac:dyDescent="0.25">
      <c r="B112" s="41"/>
      <c r="C112" s="41"/>
      <c r="E112" s="119"/>
      <c r="F112" s="114"/>
      <c r="G112" s="114"/>
      <c r="H112" s="114"/>
      <c r="I112" s="119"/>
      <c r="J112" s="119"/>
      <c r="K112" s="114"/>
      <c r="L112" s="114"/>
      <c r="M112" s="114"/>
      <c r="N112" s="114"/>
      <c r="S112" s="11"/>
      <c r="T112" s="11"/>
      <c r="U112" s="11"/>
      <c r="V112" s="11"/>
      <c r="W112" s="11"/>
    </row>
    <row r="113" spans="2:26" ht="15" x14ac:dyDescent="0.25">
      <c r="E113" s="113" t="str">
        <f>E107</f>
        <v>HC-BC</v>
      </c>
      <c r="F113" s="113" t="str">
        <f t="shared" ref="F113" si="12">F107</f>
        <v>HC-UCBC</v>
      </c>
      <c r="G113" s="113" t="str">
        <f>G107</f>
        <v>HC-CB</v>
      </c>
      <c r="H113" s="113" t="str">
        <f>H107</f>
        <v>O-LC_DS</v>
      </c>
      <c r="I113" s="113" t="str">
        <f>I107</f>
        <v>DC_DS</v>
      </c>
      <c r="J113" s="113" t="s">
        <v>130</v>
      </c>
      <c r="K113" s="114"/>
      <c r="L113" s="113" t="str">
        <f t="shared" ref="L113:M113" si="13">L107</f>
        <v>BC-LowD</v>
      </c>
      <c r="M113" s="113" t="str">
        <f t="shared" si="13"/>
        <v>O-UCBC-LowD</v>
      </c>
      <c r="N113" s="113" t="str">
        <f>N107</f>
        <v>O-LC_DS</v>
      </c>
      <c r="S113" s="34"/>
      <c r="T113" s="34"/>
      <c r="U113" s="34"/>
      <c r="V113" s="34"/>
      <c r="W113" s="34"/>
      <c r="X113" s="41"/>
      <c r="Y113" s="41"/>
      <c r="Z113" s="41"/>
    </row>
    <row r="114" spans="2:26" ht="15" x14ac:dyDescent="0.25">
      <c r="B114" s="41" t="s">
        <v>94</v>
      </c>
      <c r="C114" s="41"/>
      <c r="D114" s="3">
        <v>2016</v>
      </c>
      <c r="E114" s="119">
        <f>'HC-BC'!V212</f>
        <v>202.62649349002947</v>
      </c>
      <c r="F114" s="119">
        <f>'HC-UCBC'!V212</f>
        <v>200.18042703305403</v>
      </c>
      <c r="G114" s="119">
        <f>'HC-CB'!V212</f>
        <v>200.18042703305403</v>
      </c>
      <c r="H114" s="119">
        <f>'O-LC_DS'!V212</f>
        <v>200.18042703305403</v>
      </c>
      <c r="I114" s="119">
        <f>'O-DC_DS'!V212</f>
        <v>200.18042703305403</v>
      </c>
      <c r="J114" s="119">
        <f>'O-LC_DS-Exp'!V212</f>
        <v>200.18042703305403</v>
      </c>
      <c r="K114" s="114"/>
      <c r="L114" s="119">
        <f>'O-BC-LowD'!V212</f>
        <v>202.62649349002947</v>
      </c>
      <c r="M114" s="119">
        <f>'O-UCBC-LowD'!V212</f>
        <v>202.62649349002947</v>
      </c>
      <c r="N114" s="119">
        <f>'O-LC_DS-LowD'!V212</f>
        <v>202.62649349002947</v>
      </c>
      <c r="S114" s="12"/>
      <c r="T114" s="12"/>
      <c r="U114" s="12"/>
      <c r="V114" s="12"/>
      <c r="W114" s="11"/>
    </row>
    <row r="115" spans="2:26" x14ac:dyDescent="0.3">
      <c r="B115" s="41"/>
      <c r="C115" s="41"/>
      <c r="D115" s="3">
        <v>2030</v>
      </c>
      <c r="E115" s="119">
        <f>'HC-BC'!V213</f>
        <v>384.28163215512819</v>
      </c>
      <c r="F115" s="119">
        <f>'HC-UCBC'!V213</f>
        <v>374.20923939967508</v>
      </c>
      <c r="G115" s="119">
        <f>'HC-CB'!V213</f>
        <v>403.42273000158292</v>
      </c>
      <c r="H115" s="119">
        <f>'O-LC_DS'!V213</f>
        <v>367.11832254747361</v>
      </c>
      <c r="I115" s="119">
        <f>'O-DC_DS'!V213</f>
        <v>365.33284724979347</v>
      </c>
      <c r="J115" s="119">
        <f>'O-LC_DS-Exp'!V213</f>
        <v>352.76137626995541</v>
      </c>
      <c r="K115" s="114"/>
      <c r="L115" s="119">
        <f>'O-BC-LowD'!V213</f>
        <v>334.48259729646259</v>
      </c>
      <c r="M115" s="119">
        <f>'O-UCBC-LowD'!V213</f>
        <v>333.52924692789566</v>
      </c>
      <c r="N115" s="119">
        <f>'O-LC_DS-LowD'!V213</f>
        <v>327.55111748346224</v>
      </c>
      <c r="S115" s="12"/>
      <c r="T115" s="12"/>
      <c r="U115" s="12"/>
      <c r="V115" s="12"/>
      <c r="W115" s="12"/>
      <c r="X115" s="39"/>
      <c r="Y115" s="39"/>
      <c r="Z115" s="39"/>
    </row>
    <row r="116" spans="2:26" x14ac:dyDescent="0.3">
      <c r="B116" s="41"/>
      <c r="C116" s="41"/>
      <c r="D116" s="3">
        <v>2040</v>
      </c>
      <c r="E116" s="119">
        <f>'HC-BC'!V214</f>
        <v>535.34118201899309</v>
      </c>
      <c r="F116" s="119">
        <f>'HC-UCBC'!V214</f>
        <v>511.24616500036393</v>
      </c>
      <c r="G116" s="119">
        <f>'HC-CB'!V214</f>
        <v>529.59085653078546</v>
      </c>
      <c r="H116" s="119">
        <f>'O-LC_DS'!V214</f>
        <v>494.78546565181654</v>
      </c>
      <c r="I116" s="119">
        <f>'O-DC_DS'!V214</f>
        <v>498.07996731215809</v>
      </c>
      <c r="J116" s="119">
        <f>'O-LC_DS-Exp'!V214</f>
        <v>443.76587740222749</v>
      </c>
      <c r="K116" s="114"/>
      <c r="L116" s="119">
        <f>'O-BC-LowD'!V214</f>
        <v>429.12440257557262</v>
      </c>
      <c r="M116" s="119">
        <f>'O-UCBC-LowD'!V214</f>
        <v>416.96934717500682</v>
      </c>
      <c r="N116" s="119">
        <f>'O-LC_DS-LowD'!V214</f>
        <v>404.02467224495518</v>
      </c>
      <c r="S116" s="12"/>
      <c r="T116" s="12"/>
      <c r="U116" s="12"/>
      <c r="V116" s="12"/>
      <c r="W116" s="11"/>
    </row>
    <row r="117" spans="2:26" x14ac:dyDescent="0.3">
      <c r="B117" s="41"/>
      <c r="C117" s="41"/>
      <c r="D117" s="3">
        <v>2050</v>
      </c>
      <c r="E117" s="119">
        <f>'HC-BC'!V215</f>
        <v>699.64668255790502</v>
      </c>
      <c r="F117" s="119">
        <f>'HC-UCBC'!V215</f>
        <v>658.09669824698346</v>
      </c>
      <c r="G117" s="119">
        <f>'HC-CB'!V215</f>
        <v>688.30248800459026</v>
      </c>
      <c r="H117" s="119">
        <f>'O-LC_DS'!V215</f>
        <v>626.83748759732089</v>
      </c>
      <c r="I117" s="119">
        <f>'O-DC_DS'!V215</f>
        <v>674.56494639680727</v>
      </c>
      <c r="J117" s="119">
        <f>'O-LC_DS-Exp'!V215</f>
        <v>528.98100086770592</v>
      </c>
      <c r="K117" s="114"/>
      <c r="L117" s="119">
        <f>'O-BC-LowD'!V215</f>
        <v>486.58943943641901</v>
      </c>
      <c r="M117" s="119">
        <f>'O-UCBC-LowD'!V215</f>
        <v>470.23305666371454</v>
      </c>
      <c r="N117" s="119">
        <f>'O-LC_DS-LowD'!V215</f>
        <v>458.12955280492082</v>
      </c>
      <c r="S117" s="12"/>
      <c r="T117" s="12"/>
      <c r="U117" s="12"/>
      <c r="V117" s="12"/>
      <c r="W117" s="11"/>
    </row>
    <row r="118" spans="2:26" x14ac:dyDescent="0.3">
      <c r="B118" s="41"/>
      <c r="C118" s="41"/>
      <c r="E118" s="119"/>
      <c r="F118" s="114"/>
      <c r="G118" s="114"/>
      <c r="H118" s="119"/>
      <c r="I118" s="119"/>
      <c r="J118" s="119"/>
      <c r="K118" s="114"/>
      <c r="L118" s="114"/>
      <c r="M118" s="114"/>
      <c r="N118" s="119"/>
      <c r="S118" s="28"/>
      <c r="T118" s="28"/>
      <c r="U118" s="28"/>
      <c r="V118" s="28"/>
      <c r="W118" s="11"/>
    </row>
    <row r="119" spans="2:26" x14ac:dyDescent="0.3">
      <c r="E119" s="113" t="str">
        <f>E113</f>
        <v>HC-BC</v>
      </c>
      <c r="F119" s="113" t="str">
        <f t="shared" ref="F119" si="14">F113</f>
        <v>HC-UCBC</v>
      </c>
      <c r="G119" s="113" t="str">
        <f>G113</f>
        <v>HC-CB</v>
      </c>
      <c r="H119" s="113" t="str">
        <f>H113</f>
        <v>O-LC_DS</v>
      </c>
      <c r="I119" s="113" t="str">
        <f>I113</f>
        <v>DC_DS</v>
      </c>
      <c r="J119" s="113" t="s">
        <v>130</v>
      </c>
      <c r="K119" s="114"/>
      <c r="L119" s="113" t="str">
        <f t="shared" ref="L119:M119" si="15">L113</f>
        <v>BC-LowD</v>
      </c>
      <c r="M119" s="113" t="str">
        <f t="shared" si="15"/>
        <v>O-UCBC-LowD</v>
      </c>
      <c r="N119" s="113" t="str">
        <f>N113</f>
        <v>O-LC_DS</v>
      </c>
      <c r="S119" s="34"/>
      <c r="T119" s="34"/>
      <c r="U119" s="34"/>
      <c r="V119" s="34"/>
      <c r="W119" s="34"/>
      <c r="X119" s="41"/>
      <c r="Y119" s="41"/>
      <c r="Z119" s="41"/>
    </row>
    <row r="120" spans="2:26" x14ac:dyDescent="0.3">
      <c r="B120" s="41" t="s">
        <v>95</v>
      </c>
      <c r="C120" s="41"/>
      <c r="D120" s="3">
        <v>2016</v>
      </c>
      <c r="E120" s="119">
        <f>'HC-BC'!W212</f>
        <v>228.61532641286882</v>
      </c>
      <c r="F120" s="119">
        <f>'HC-UCBC'!W212</f>
        <v>225.5678183439752</v>
      </c>
      <c r="G120" s="119">
        <f>'HC-CB'!W212</f>
        <v>225.5678183439752</v>
      </c>
      <c r="H120" s="119">
        <f>'O-LC_DS'!W212</f>
        <v>225.5678183439752</v>
      </c>
      <c r="I120" s="119">
        <f>'O-DC_DS'!W212</f>
        <v>225.5678183439752</v>
      </c>
      <c r="J120" s="119">
        <f>'O-LC_DS-Exp'!W212</f>
        <v>225.5678183439752</v>
      </c>
      <c r="K120" s="114"/>
      <c r="L120" s="119">
        <f>'O-BC-LowD'!W212</f>
        <v>228.61532641286882</v>
      </c>
      <c r="M120" s="119">
        <f>'O-UCBC-LowD'!W212</f>
        <v>228.61532641286882</v>
      </c>
      <c r="N120" s="119">
        <f>'O-LC_DS-LowD'!W212</f>
        <v>228.61532641286882</v>
      </c>
      <c r="S120" s="12"/>
      <c r="T120" s="12"/>
      <c r="U120" s="12"/>
      <c r="V120" s="12"/>
      <c r="W120" s="11"/>
    </row>
    <row r="121" spans="2:26" x14ac:dyDescent="0.3">
      <c r="B121" s="41"/>
      <c r="C121" s="41"/>
      <c r="D121" s="3">
        <v>2030</v>
      </c>
      <c r="E121" s="119">
        <f>'HC-BC'!W213</f>
        <v>414.38073688739541</v>
      </c>
      <c r="F121" s="119">
        <f>'HC-UCBC'!W213</f>
        <v>399.94783112200918</v>
      </c>
      <c r="G121" s="119">
        <f>'HC-CB'!W213</f>
        <v>424.5308737781325</v>
      </c>
      <c r="H121" s="119">
        <f>'O-LC_DS'!W213</f>
        <v>391.60949199160132</v>
      </c>
      <c r="I121" s="119">
        <f>'O-DC_DS'!W213</f>
        <v>382.29490210770109</v>
      </c>
      <c r="J121" s="119">
        <f>'O-LC_DS-Exp'!W213</f>
        <v>377.48749732809836</v>
      </c>
      <c r="K121" s="114"/>
      <c r="L121" s="119">
        <f>'O-BC-LowD'!W213</f>
        <v>360.96399759770912</v>
      </c>
      <c r="M121" s="119">
        <f>'O-UCBC-LowD'!W213</f>
        <v>358.97576615699211</v>
      </c>
      <c r="N121" s="119">
        <f>'O-LC_DS-LowD'!W213</f>
        <v>351.98192729373255</v>
      </c>
      <c r="S121" s="12"/>
      <c r="T121" s="12"/>
      <c r="U121" s="12"/>
      <c r="V121" s="12"/>
      <c r="W121" s="11"/>
    </row>
    <row r="122" spans="2:26" x14ac:dyDescent="0.3">
      <c r="B122" s="41"/>
      <c r="C122" s="41"/>
      <c r="D122" s="3">
        <v>2040</v>
      </c>
      <c r="E122" s="119">
        <f>'HC-BC'!W214</f>
        <v>563.99914471072884</v>
      </c>
      <c r="F122" s="119">
        <f>'HC-UCBC'!W214</f>
        <v>531.16971069072815</v>
      </c>
      <c r="G122" s="119">
        <f>'HC-CB'!W214</f>
        <v>543.12678165850684</v>
      </c>
      <c r="H122" s="119">
        <f>'O-LC_DS'!W214</f>
        <v>508.35752100511894</v>
      </c>
      <c r="I122" s="119">
        <f>'O-DC_DS'!W214</f>
        <v>506.66881033020803</v>
      </c>
      <c r="J122" s="119">
        <f>'O-LC_DS-Exp'!W214</f>
        <v>454.74350356452283</v>
      </c>
      <c r="K122" s="114"/>
      <c r="L122" s="119">
        <f>'O-BC-LowD'!W214</f>
        <v>452.22388128955282</v>
      </c>
      <c r="M122" s="119">
        <f>'O-UCBC-LowD'!W214</f>
        <v>431.56144827448077</v>
      </c>
      <c r="N122" s="119">
        <f>'O-LC_DS-LowD'!W214</f>
        <v>417.18546761858892</v>
      </c>
      <c r="S122" s="12"/>
      <c r="T122" s="12"/>
      <c r="U122" s="12"/>
      <c r="V122" s="12"/>
      <c r="W122" s="11"/>
    </row>
    <row r="123" spans="2:26" x14ac:dyDescent="0.3">
      <c r="B123" s="41"/>
      <c r="C123" s="41"/>
      <c r="D123" s="3">
        <v>2050</v>
      </c>
      <c r="E123" s="119">
        <f>'HC-BC'!W215</f>
        <v>722.0822603181233</v>
      </c>
      <c r="F123" s="119">
        <f>'HC-UCBC'!W215</f>
        <v>678.94092964322454</v>
      </c>
      <c r="G123" s="119">
        <f>'HC-CB'!W215</f>
        <v>700.13169379624901</v>
      </c>
      <c r="H123" s="119">
        <f>'O-LC_DS'!W215</f>
        <v>637.11368711486568</v>
      </c>
      <c r="I123" s="119">
        <f>'O-DC_DS'!W215</f>
        <v>676.12316957689541</v>
      </c>
      <c r="J123" s="119">
        <f>'O-LC_DS-Exp'!W215</f>
        <v>536.17517932241299</v>
      </c>
      <c r="K123" s="114"/>
      <c r="L123" s="119">
        <f>'O-BC-LowD'!W215</f>
        <v>511.07565647387128</v>
      </c>
      <c r="M123" s="119">
        <f>'O-UCBC-LowD'!W215</f>
        <v>482.70245736347334</v>
      </c>
      <c r="N123" s="119">
        <f>'O-LC_DS-LowD'!W215</f>
        <v>467.40689904376597</v>
      </c>
      <c r="S123" s="12"/>
      <c r="T123" s="12"/>
      <c r="U123" s="12"/>
      <c r="V123" s="12"/>
      <c r="W123" s="11"/>
    </row>
    <row r="124" spans="2:26" x14ac:dyDescent="0.3">
      <c r="B124" s="41"/>
      <c r="C124" s="41"/>
      <c r="E124" s="119"/>
      <c r="F124" s="114"/>
      <c r="G124" s="114"/>
      <c r="H124" s="119"/>
      <c r="I124" s="119"/>
      <c r="J124" s="119"/>
      <c r="K124" s="114"/>
      <c r="L124" s="114"/>
      <c r="M124" s="114"/>
      <c r="N124" s="114"/>
      <c r="S124" s="11"/>
      <c r="T124" s="11"/>
      <c r="U124" s="11"/>
      <c r="V124" s="11"/>
      <c r="W124" s="11"/>
    </row>
    <row r="125" spans="2:26" x14ac:dyDescent="0.3">
      <c r="E125" s="113" t="str">
        <f>E101</f>
        <v>HC-BC</v>
      </c>
      <c r="F125" s="113" t="str">
        <f t="shared" ref="F125" si="16">F101</f>
        <v>HC-UCBC</v>
      </c>
      <c r="G125" s="113" t="str">
        <f>G101</f>
        <v>HC-CB</v>
      </c>
      <c r="H125" s="113" t="str">
        <f>H101</f>
        <v>O-LC_DS</v>
      </c>
      <c r="I125" s="113" t="str">
        <f>I101</f>
        <v>DC_DS</v>
      </c>
      <c r="J125" s="113" t="s">
        <v>130</v>
      </c>
      <c r="K125" s="114"/>
      <c r="L125" s="113" t="str">
        <f t="shared" ref="L125:M125" si="17">L101</f>
        <v>BC-LowD</v>
      </c>
      <c r="M125" s="113" t="str">
        <f t="shared" si="17"/>
        <v>O-UCBC-LowD</v>
      </c>
      <c r="N125" s="113" t="str">
        <f>N101</f>
        <v>O-LC_DS</v>
      </c>
      <c r="S125" s="34"/>
      <c r="T125" s="34"/>
      <c r="U125" s="34"/>
      <c r="V125" s="34"/>
      <c r="W125" s="34"/>
      <c r="X125" s="41"/>
      <c r="Y125" s="41"/>
      <c r="Z125" s="41"/>
    </row>
    <row r="126" spans="2:26" x14ac:dyDescent="0.3">
      <c r="B126" s="41" t="s">
        <v>96</v>
      </c>
      <c r="C126" s="41"/>
      <c r="D126" s="3">
        <v>2016</v>
      </c>
      <c r="E126" s="120">
        <f>'HC-BC'!U243</f>
        <v>0.83699865540086615</v>
      </c>
      <c r="F126" s="120">
        <f>'HC-UCBC'!U243</f>
        <v>0.82689457522731091</v>
      </c>
      <c r="G126" s="120">
        <f>'HC-CB'!U243</f>
        <v>0.82689457522731091</v>
      </c>
      <c r="H126" s="120">
        <f>'O-LC_DS'!U243</f>
        <v>0.82689457522731091</v>
      </c>
      <c r="I126" s="120">
        <f>'O-DC_DS'!U243</f>
        <v>0.82689457522731091</v>
      </c>
      <c r="J126" s="120">
        <f>'O-LC_DS-Exp'!U243</f>
        <v>0.82689457522731091</v>
      </c>
      <c r="K126" s="114"/>
      <c r="L126" s="120">
        <f>'O-BC-LowD'!U243</f>
        <v>0.83699865540086615</v>
      </c>
      <c r="M126" s="120">
        <f>'O-UCBC-LowD'!U243</f>
        <v>0.83699865540086615</v>
      </c>
      <c r="N126" s="120">
        <f>'O-LC_DS-LowD'!U243</f>
        <v>0.83699865540086615</v>
      </c>
      <c r="S126" s="54"/>
      <c r="T126" s="54"/>
      <c r="U126" s="54"/>
      <c r="V126" s="54"/>
      <c r="W126" s="11"/>
    </row>
    <row r="127" spans="2:26" x14ac:dyDescent="0.3">
      <c r="B127" s="41"/>
      <c r="C127" s="41"/>
      <c r="D127" s="3">
        <v>2030</v>
      </c>
      <c r="E127" s="120">
        <f>'HC-BC'!U244</f>
        <v>1.1186326359281578</v>
      </c>
      <c r="F127" s="120">
        <f>'HC-UCBC'!U244</f>
        <v>1.089312194056016</v>
      </c>
      <c r="G127" s="120">
        <f>'HC-CB'!U244</f>
        <v>1.174351814121652</v>
      </c>
      <c r="H127" s="120">
        <f>'O-LC_DS'!U244</f>
        <v>1.068670741678913</v>
      </c>
      <c r="I127" s="120">
        <f>'O-DC_DS'!U244</f>
        <v>1.0634732751036116</v>
      </c>
      <c r="J127" s="120">
        <f>'O-LC_DS-Exp'!U244</f>
        <v>1.0268780893259222</v>
      </c>
      <c r="K127" s="124"/>
      <c r="L127" s="120">
        <f>'O-BC-LowD'!U244</f>
        <v>1.0882713008051996</v>
      </c>
      <c r="M127" s="120">
        <f>'O-UCBC-LowD'!U244</f>
        <v>1.0851694836879284</v>
      </c>
      <c r="N127" s="120">
        <f>'O-LC_DS-LowD'!U244</f>
        <v>1.0657190645646009</v>
      </c>
      <c r="S127" s="54"/>
      <c r="T127" s="54"/>
      <c r="U127" s="54"/>
      <c r="V127" s="54"/>
      <c r="W127" s="11"/>
    </row>
    <row r="128" spans="2:26" x14ac:dyDescent="0.3">
      <c r="B128" s="41"/>
      <c r="C128" s="41"/>
      <c r="D128" s="3">
        <v>2040</v>
      </c>
      <c r="E128" s="120">
        <f>'HC-BC'!U245</f>
        <v>1.249538856943109</v>
      </c>
      <c r="F128" s="120">
        <f>'HC-UCBC'!U245</f>
        <v>1.1932987225489378</v>
      </c>
      <c r="G128" s="120">
        <f>'HC-CB'!U245</f>
        <v>1.2361170329196196</v>
      </c>
      <c r="H128" s="120">
        <f>'O-LC_DS'!U245</f>
        <v>1.1548778348247828</v>
      </c>
      <c r="I128" s="120">
        <f>'O-DC_DS'!U245</f>
        <v>1.1625675250207341</v>
      </c>
      <c r="J128" s="120">
        <f>'O-LC_DS-Exp'!U245</f>
        <v>1.0357931088138523</v>
      </c>
      <c r="K128" s="114"/>
      <c r="L128" s="120">
        <f>'O-BC-LowD'!U245</f>
        <v>1.220615650471266</v>
      </c>
      <c r="M128" s="120">
        <f>'O-UCBC-LowD'!U245</f>
        <v>1.1860414086774471</v>
      </c>
      <c r="N128" s="120">
        <f>'O-LC_DS-LowD'!U245</f>
        <v>1.1492211469653404</v>
      </c>
      <c r="S128" s="54"/>
      <c r="T128" s="54"/>
      <c r="U128" s="54"/>
      <c r="V128" s="54"/>
      <c r="W128" s="11"/>
    </row>
    <row r="129" spans="2:26" x14ac:dyDescent="0.3">
      <c r="B129" s="41"/>
      <c r="C129" s="41"/>
      <c r="D129" s="3">
        <v>2050</v>
      </c>
      <c r="E129" s="120">
        <f>'HC-BC'!U246</f>
        <v>1.3414526114167429</v>
      </c>
      <c r="F129" s="120">
        <f>'HC-UCBC'!U246</f>
        <v>1.2617876371551129</v>
      </c>
      <c r="G129" s="120">
        <f>'HC-CB'!U246</f>
        <v>1.3197020624792026</v>
      </c>
      <c r="H129" s="120">
        <f>'O-LC_DS'!U246</f>
        <v>1.2018534578011708</v>
      </c>
      <c r="I129" s="120">
        <f>'O-DC_DS'!U246</f>
        <v>1.2933626807260681</v>
      </c>
      <c r="J129" s="120">
        <f>'O-LC_DS-Exp'!U246</f>
        <v>1.0142304147137828</v>
      </c>
      <c r="K129" s="114"/>
      <c r="L129" s="120">
        <f>'O-BC-LowD'!U246</f>
        <v>1.2729527890508741</v>
      </c>
      <c r="M129" s="120">
        <f>'O-UCBC-LowD'!U246</f>
        <v>1.2301633214179284</v>
      </c>
      <c r="N129" s="120">
        <f>'O-LC_DS-LowD'!U246</f>
        <v>1.1984996893173538</v>
      </c>
      <c r="S129" s="54"/>
      <c r="T129" s="54"/>
      <c r="U129" s="54"/>
      <c r="V129" s="54"/>
      <c r="W129" s="11"/>
    </row>
    <row r="130" spans="2:26" x14ac:dyDescent="0.3">
      <c r="B130" s="41"/>
      <c r="C130" s="41"/>
      <c r="E130" s="114"/>
      <c r="F130" s="114"/>
      <c r="G130" s="114"/>
      <c r="H130" s="114"/>
      <c r="I130" s="120"/>
      <c r="J130" s="120"/>
      <c r="K130" s="114"/>
      <c r="L130" s="120"/>
      <c r="M130" s="120"/>
      <c r="N130" s="120"/>
      <c r="S130" s="54"/>
      <c r="T130" s="54"/>
      <c r="U130" s="54"/>
      <c r="V130" s="54"/>
      <c r="W130" s="11"/>
    </row>
    <row r="131" spans="2:26" x14ac:dyDescent="0.3">
      <c r="E131" s="113" t="str">
        <f>E125</f>
        <v>HC-BC</v>
      </c>
      <c r="F131" s="113" t="str">
        <f t="shared" ref="F131" si="18">F125</f>
        <v>HC-UCBC</v>
      </c>
      <c r="G131" s="113" t="str">
        <f>G125</f>
        <v>HC-CB</v>
      </c>
      <c r="H131" s="113" t="str">
        <f>H125</f>
        <v>O-LC_DS</v>
      </c>
      <c r="I131" s="113" t="str">
        <f>I125</f>
        <v>DC_DS</v>
      </c>
      <c r="J131" s="113" t="s">
        <v>130</v>
      </c>
      <c r="K131" s="114"/>
      <c r="L131" s="113" t="str">
        <f t="shared" ref="L131:M131" si="19">L125</f>
        <v>BC-LowD</v>
      </c>
      <c r="M131" s="113" t="str">
        <f t="shared" si="19"/>
        <v>O-UCBC-LowD</v>
      </c>
      <c r="N131" s="113" t="str">
        <f>N125</f>
        <v>O-LC_DS</v>
      </c>
      <c r="S131" s="34"/>
      <c r="T131" s="34"/>
      <c r="U131" s="34"/>
      <c r="V131" s="34"/>
      <c r="W131" s="34"/>
      <c r="X131" s="41"/>
      <c r="Y131" s="41"/>
      <c r="Z131" s="41"/>
    </row>
    <row r="132" spans="2:26" x14ac:dyDescent="0.3">
      <c r="B132" s="41" t="s">
        <v>97</v>
      </c>
      <c r="C132" s="41"/>
      <c r="D132" s="3">
        <v>2016</v>
      </c>
      <c r="E132" s="120">
        <f>'HC-BC'!V243</f>
        <v>0.94267330167283891</v>
      </c>
      <c r="F132" s="120">
        <f>'HC-UCBC'!V243</f>
        <v>0.93258760396588514</v>
      </c>
      <c r="G132" s="120">
        <f>'HC-CB'!V243</f>
        <v>0.93258760396588514</v>
      </c>
      <c r="H132" s="120">
        <f>'O-LC_DS'!V243</f>
        <v>0.93258760396588514</v>
      </c>
      <c r="I132" s="120">
        <f>'O-DC_DS'!V243</f>
        <v>0.93258760396588514</v>
      </c>
      <c r="J132" s="120">
        <f>'O-LC_DS-Exp'!V243</f>
        <v>0.93258760396588514</v>
      </c>
      <c r="K132" s="114"/>
      <c r="L132" s="120">
        <f>'O-BC-LowD'!V243</f>
        <v>0.94267330167283891</v>
      </c>
      <c r="M132" s="120">
        <f>'O-UCBC-LowD'!V243</f>
        <v>0.94267330167283891</v>
      </c>
      <c r="N132" s="120">
        <f>'O-LC_DS-LowD'!V243</f>
        <v>0.94267330167283891</v>
      </c>
      <c r="S132" s="54"/>
      <c r="T132" s="54"/>
      <c r="U132" s="54"/>
      <c r="V132" s="54"/>
      <c r="W132" s="11"/>
    </row>
    <row r="133" spans="2:26" x14ac:dyDescent="0.3">
      <c r="B133" s="41"/>
      <c r="C133" s="41"/>
      <c r="D133" s="3">
        <v>2030</v>
      </c>
      <c r="E133" s="120">
        <f>'HC-BC'!V244</f>
        <v>1.2045755783063834</v>
      </c>
      <c r="F133" s="120">
        <f>'HC-UCBC'!V244</f>
        <v>1.1628197819426305</v>
      </c>
      <c r="G133" s="120">
        <f>'HC-CB'!V244</f>
        <v>1.2346654814415683</v>
      </c>
      <c r="H133" s="120">
        <f>'O-LC_DS'!V244</f>
        <v>1.1384341479350786</v>
      </c>
      <c r="I133" s="120">
        <f>'O-DC_DS'!V244</f>
        <v>1.1116355786573604</v>
      </c>
      <c r="J133" s="120">
        <f>'O-LC_DS-Exp'!V244</f>
        <v>1.0945652148406999</v>
      </c>
      <c r="K133" s="114"/>
      <c r="L133" s="120">
        <f>'O-BC-LowD'!V244</f>
        <v>1.1724659499749033</v>
      </c>
      <c r="M133" s="120">
        <f>'O-UCBC-LowD'!V244</f>
        <v>1.1660003513013208</v>
      </c>
      <c r="N133" s="120">
        <f>'O-LC_DS-LowD'!V244</f>
        <v>1.1433556613803642</v>
      </c>
      <c r="S133" s="54"/>
      <c r="T133" s="54"/>
      <c r="U133" s="54"/>
      <c r="V133" s="54"/>
      <c r="W133" s="11"/>
    </row>
    <row r="134" spans="2:26" x14ac:dyDescent="0.3">
      <c r="B134" s="41"/>
      <c r="C134" s="41"/>
      <c r="D134" s="3">
        <v>2040</v>
      </c>
      <c r="E134" s="120">
        <f>'HC-BC'!V245</f>
        <v>1.3154927251813617</v>
      </c>
      <c r="F134" s="120">
        <f>'HC-UCBC'!V245</f>
        <v>1.2391629610213082</v>
      </c>
      <c r="G134" s="120">
        <f>'HC-CB'!V245</f>
        <v>1.2672195692032249</v>
      </c>
      <c r="H134" s="120">
        <f>'O-LC_DS'!V245</f>
        <v>1.18597211047864</v>
      </c>
      <c r="I134" s="120">
        <f>'O-DC_DS'!V245</f>
        <v>1.18221321428127</v>
      </c>
      <c r="J134" s="120">
        <f>'O-LC_DS-Exp'!V245</f>
        <v>1.0586363930814195</v>
      </c>
      <c r="K134" s="114"/>
      <c r="L134" s="120">
        <f>'O-BC-LowD'!V245</f>
        <v>1.2850307866666633</v>
      </c>
      <c r="M134" s="120">
        <f>'O-UCBC-LowD'!V245</f>
        <v>1.2267046424213432</v>
      </c>
      <c r="N134" s="120">
        <f>'O-LC_DS-LowD'!V245</f>
        <v>1.1858360785077946</v>
      </c>
      <c r="S134" s="54"/>
      <c r="T134" s="54"/>
      <c r="U134" s="54"/>
      <c r="V134" s="54"/>
      <c r="W134" s="11"/>
    </row>
    <row r="135" spans="2:26" x14ac:dyDescent="0.3">
      <c r="B135" s="41"/>
      <c r="C135" s="41"/>
      <c r="D135" s="3">
        <v>2050</v>
      </c>
      <c r="E135" s="120">
        <f>'HC-BC'!V246</f>
        <v>1.3839643067999514</v>
      </c>
      <c r="F135" s="120">
        <f>'HC-UCBC'!V246</f>
        <v>1.3013455649040437</v>
      </c>
      <c r="G135" s="120">
        <f>'HC-CB'!V246</f>
        <v>1.3421502509084806</v>
      </c>
      <c r="H135" s="120">
        <f>'O-LC_DS'!V246</f>
        <v>1.221266544078345</v>
      </c>
      <c r="I135" s="120">
        <f>'O-DC_DS'!V246</f>
        <v>1.2962912808760036</v>
      </c>
      <c r="J135" s="120">
        <f>'O-LC_DS-Exp'!V246</f>
        <v>1.0264311278098786</v>
      </c>
      <c r="K135" s="114"/>
      <c r="L135" s="120">
        <f>'O-BC-LowD'!V246</f>
        <v>1.3358672278122454</v>
      </c>
      <c r="M135" s="120">
        <f>'O-UCBC-LowD'!V246</f>
        <v>1.2621687512686648</v>
      </c>
      <c r="N135" s="120">
        <f>'O-LC_DS-LowD'!V246</f>
        <v>1.2222790761981182</v>
      </c>
      <c r="S135" s="54"/>
      <c r="T135" s="54"/>
      <c r="U135" s="54"/>
      <c r="V135" s="54"/>
      <c r="W135" s="11"/>
    </row>
    <row r="136" spans="2:26" x14ac:dyDescent="0.3">
      <c r="B136" s="41"/>
      <c r="C136" s="41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S136" s="11"/>
      <c r="T136" s="11"/>
      <c r="U136" s="11"/>
      <c r="V136" s="11"/>
      <c r="W136" s="11"/>
    </row>
    <row r="137" spans="2:26" x14ac:dyDescent="0.3">
      <c r="E137" s="113" t="str">
        <f>E131</f>
        <v>HC-BC</v>
      </c>
      <c r="F137" s="113" t="str">
        <f t="shared" ref="F137" si="20">F131</f>
        <v>HC-UCBC</v>
      </c>
      <c r="G137" s="113" t="str">
        <f>G131</f>
        <v>HC-CB</v>
      </c>
      <c r="H137" s="113" t="str">
        <f>H131</f>
        <v>O-LC_DS</v>
      </c>
      <c r="I137" s="113" t="str">
        <f>I131</f>
        <v>DC_DS</v>
      </c>
      <c r="J137" s="113" t="s">
        <v>130</v>
      </c>
      <c r="K137" s="114"/>
      <c r="L137" s="113" t="str">
        <f t="shared" ref="L137:M137" si="21">L131</f>
        <v>BC-LowD</v>
      </c>
      <c r="M137" s="113" t="str">
        <f t="shared" si="21"/>
        <v>O-UCBC-LowD</v>
      </c>
      <c r="N137" s="113" t="str">
        <f>N131</f>
        <v>O-LC_DS</v>
      </c>
      <c r="S137" s="34"/>
      <c r="T137" s="34"/>
      <c r="U137" s="34"/>
      <c r="V137" s="34"/>
      <c r="W137" s="34"/>
      <c r="X137" s="41"/>
      <c r="Y137" s="41"/>
      <c r="Z137" s="41"/>
    </row>
    <row r="138" spans="2:26" x14ac:dyDescent="0.3">
      <c r="B138" s="41" t="s">
        <v>84</v>
      </c>
      <c r="C138" s="41"/>
      <c r="D138" s="3">
        <v>2016</v>
      </c>
      <c r="E138" s="119">
        <f>'HC-BC'!T128</f>
        <v>216.57360769032783</v>
      </c>
      <c r="F138" s="119">
        <f>'HC-UCBC'!T128</f>
        <v>211.56159425767646</v>
      </c>
      <c r="G138" s="119">
        <f>'HC-CB'!T128</f>
        <v>211.56159425767646</v>
      </c>
      <c r="H138" s="119">
        <f>'O-LC_DS'!T128</f>
        <v>211.56159425767646</v>
      </c>
      <c r="I138" s="119">
        <f>'O-DC_DS'!T128</f>
        <v>211.56159425767646</v>
      </c>
      <c r="J138" s="119">
        <f>'O-LC_DS-Exp'!T128</f>
        <v>211.56159425767646</v>
      </c>
      <c r="K138" s="114"/>
      <c r="L138" s="119">
        <f>'O-BC-LowD'!T128</f>
        <v>216.57360769032783</v>
      </c>
      <c r="M138" s="119">
        <f>'O-UCBC-LowD'!T128</f>
        <v>216.57360769032783</v>
      </c>
      <c r="N138" s="119">
        <f>'O-LC_DS-LowD'!T128</f>
        <v>216.57360769032783</v>
      </c>
      <c r="S138" s="12"/>
      <c r="T138" s="12"/>
      <c r="U138" s="12"/>
      <c r="V138" s="12"/>
      <c r="W138" s="11"/>
    </row>
    <row r="139" spans="2:26" x14ac:dyDescent="0.3">
      <c r="B139" s="41"/>
      <c r="C139" s="41"/>
      <c r="D139" s="3">
        <v>2030</v>
      </c>
      <c r="E139" s="119">
        <f>'HC-BC'!T129</f>
        <v>250.82587276889353</v>
      </c>
      <c r="F139" s="119">
        <f>'HC-UCBC'!T129</f>
        <v>214.48826435278392</v>
      </c>
      <c r="G139" s="119">
        <f>'HC-CB'!T129</f>
        <v>175.90119813791304</v>
      </c>
      <c r="H139" s="119">
        <f>'O-LC_DS'!T129</f>
        <v>204.09307870106446</v>
      </c>
      <c r="I139" s="119">
        <f>'O-DC_DS'!T129</f>
        <v>141.35045714923029</v>
      </c>
      <c r="J139" s="119">
        <f>'O-LC_DS-Exp'!T129</f>
        <v>206.05100881785771</v>
      </c>
      <c r="K139" s="114"/>
      <c r="L139" s="119">
        <f>'O-BC-LowD'!T129</f>
        <v>220.67833584372136</v>
      </c>
      <c r="M139" s="119">
        <f>'O-UCBC-LowD'!T129</f>
        <v>212.0543269091375</v>
      </c>
      <c r="N139" s="119">
        <f>'O-LC_DS-LowD'!T129</f>
        <v>203.5900817522527</v>
      </c>
      <c r="S139" s="12"/>
      <c r="T139" s="12"/>
      <c r="U139" s="12"/>
      <c r="V139" s="12"/>
      <c r="W139" s="11"/>
    </row>
    <row r="140" spans="2:26" x14ac:dyDescent="0.3">
      <c r="B140" s="41"/>
      <c r="C140" s="41"/>
      <c r="D140" s="3">
        <v>2040</v>
      </c>
      <c r="E140" s="119">
        <f>'HC-BC'!T130</f>
        <v>238.81635576446507</v>
      </c>
      <c r="F140" s="119">
        <f>'HC-UCBC'!T130</f>
        <v>166.02954741970208</v>
      </c>
      <c r="G140" s="119">
        <f>'HC-CB'!T130</f>
        <v>112.79937606434551</v>
      </c>
      <c r="H140" s="119">
        <f>'O-LC_DS'!T130</f>
        <v>113.10046127751987</v>
      </c>
      <c r="I140" s="119">
        <f>'O-DC_DS'!T130</f>
        <v>71.573691817082889</v>
      </c>
      <c r="J140" s="119">
        <f>'O-LC_DS-Exp'!T130</f>
        <v>91.480218019127733</v>
      </c>
      <c r="K140" s="114"/>
      <c r="L140" s="119">
        <f>'O-BC-LowD'!T130</f>
        <v>192.49565594983511</v>
      </c>
      <c r="M140" s="119">
        <f>'O-UCBC-LowD'!T130</f>
        <v>121.60084249561604</v>
      </c>
      <c r="N140" s="119">
        <f>'O-LC_DS-LowD'!T130</f>
        <v>109.67329478028118</v>
      </c>
      <c r="S140" s="12"/>
      <c r="T140" s="12"/>
      <c r="U140" s="12"/>
      <c r="V140" s="12"/>
      <c r="W140" s="11"/>
    </row>
    <row r="141" spans="2:26" x14ac:dyDescent="0.3">
      <c r="B141" s="41"/>
      <c r="C141" s="41"/>
      <c r="D141" s="3">
        <v>2050</v>
      </c>
      <c r="E141" s="119">
        <f>'HC-BC'!T131</f>
        <v>186.96314800181878</v>
      </c>
      <c r="F141" s="119">
        <f>'HC-UCBC'!T131</f>
        <v>173.70192830200963</v>
      </c>
      <c r="G141" s="119">
        <f>'HC-CB'!T131</f>
        <v>98.576714930489842</v>
      </c>
      <c r="H141" s="119">
        <f>'O-LC_DS'!T131</f>
        <v>85.63499597954015</v>
      </c>
      <c r="I141" s="119">
        <f>'O-DC_DS'!T131</f>
        <v>12.985193167400762</v>
      </c>
      <c r="J141" s="119">
        <f>'O-LC_DS-Exp'!T131</f>
        <v>59.951487122559058</v>
      </c>
      <c r="K141" s="114"/>
      <c r="L141" s="119">
        <f>'O-BC-LowD'!T131</f>
        <v>204.05180864543539</v>
      </c>
      <c r="M141" s="119">
        <f>'O-UCBC-LowD'!T131</f>
        <v>103.91167249798998</v>
      </c>
      <c r="N141" s="119">
        <f>'O-LC_DS-LowD'!T131</f>
        <v>77.311218657042815</v>
      </c>
      <c r="S141" s="12"/>
      <c r="T141" s="12"/>
      <c r="U141" s="12"/>
      <c r="V141" s="12"/>
      <c r="W141" s="11"/>
    </row>
    <row r="142" spans="2:26" x14ac:dyDescent="0.3">
      <c r="B142" s="41"/>
      <c r="C142" s="41"/>
      <c r="E142" s="119"/>
      <c r="F142" s="114"/>
      <c r="G142" s="119"/>
      <c r="H142" s="114"/>
      <c r="I142" s="119">
        <f>I141-H141</f>
        <v>-72.649802812139384</v>
      </c>
      <c r="J142" s="114"/>
      <c r="K142" s="114"/>
      <c r="L142" s="114"/>
      <c r="M142" s="114"/>
      <c r="N142" s="114"/>
      <c r="S142" s="11"/>
      <c r="T142" s="11"/>
      <c r="U142" s="11"/>
      <c r="V142" s="11"/>
      <c r="W142" s="11"/>
    </row>
    <row r="143" spans="2:26" x14ac:dyDescent="0.3">
      <c r="E143" s="113" t="str">
        <f>E137</f>
        <v>HC-BC</v>
      </c>
      <c r="F143" s="113" t="str">
        <f t="shared" ref="F143" si="22">F137</f>
        <v>HC-UCBC</v>
      </c>
      <c r="G143" s="113" t="str">
        <f>G137</f>
        <v>HC-CB</v>
      </c>
      <c r="H143" s="113" t="str">
        <f>H137</f>
        <v>O-LC_DS</v>
      </c>
      <c r="I143" s="113" t="str">
        <f>I137</f>
        <v>DC_DS</v>
      </c>
      <c r="J143" s="113" t="s">
        <v>130</v>
      </c>
      <c r="K143" s="114"/>
      <c r="L143" s="113" t="str">
        <f t="shared" ref="L143:M143" si="23">L137</f>
        <v>BC-LowD</v>
      </c>
      <c r="M143" s="113" t="str">
        <f t="shared" si="23"/>
        <v>O-UCBC-LowD</v>
      </c>
      <c r="N143" s="113" t="str">
        <f>N137</f>
        <v>O-LC_DS</v>
      </c>
      <c r="S143" s="34"/>
      <c r="T143" s="34"/>
      <c r="U143" s="34"/>
      <c r="V143" s="34"/>
      <c r="W143" s="34"/>
      <c r="X143" s="41"/>
      <c r="Y143" s="41"/>
      <c r="Z143" s="41"/>
    </row>
    <row r="144" spans="2:26" x14ac:dyDescent="0.3">
      <c r="B144" s="41" t="s">
        <v>85</v>
      </c>
      <c r="C144" s="41"/>
      <c r="D144" s="3">
        <v>2016</v>
      </c>
      <c r="E144" s="119">
        <f>'HC-BC'!T159</f>
        <v>282.16798807628243</v>
      </c>
      <c r="F144" s="119">
        <f>'HC-UCBC'!T159</f>
        <v>280.96596884006522</v>
      </c>
      <c r="G144" s="119">
        <f>'HC-CB'!T159</f>
        <v>280.96596884006522</v>
      </c>
      <c r="H144" s="119">
        <f>'O-LC_DS'!T159</f>
        <v>280.96596884006522</v>
      </c>
      <c r="I144" s="119">
        <f>'O-DC_DS'!T159</f>
        <v>280.96596884006522</v>
      </c>
      <c r="J144" s="119">
        <f>'O-LC_DS-Exp'!T159</f>
        <v>280.96596884006522</v>
      </c>
      <c r="K144" s="114"/>
      <c r="L144" s="119">
        <f>'O-BC-LowD'!T159</f>
        <v>282.16798807628243</v>
      </c>
      <c r="M144" s="119">
        <f>'O-UCBC-LowD'!T159</f>
        <v>282.16798807628243</v>
      </c>
      <c r="N144" s="119">
        <f>'O-LC_DS-LowD'!T159</f>
        <v>282.16798807628243</v>
      </c>
      <c r="S144" s="12"/>
      <c r="T144" s="12"/>
      <c r="U144" s="12"/>
      <c r="V144" s="12"/>
      <c r="W144" s="11"/>
    </row>
    <row r="145" spans="2:26" x14ac:dyDescent="0.3">
      <c r="B145" s="41"/>
      <c r="C145" s="41"/>
      <c r="D145" s="3">
        <v>2030</v>
      </c>
      <c r="E145" s="119">
        <f>'HC-BC'!T160</f>
        <v>215.95051183619233</v>
      </c>
      <c r="F145" s="119">
        <f>'HC-UCBC'!T160</f>
        <v>203.80801952106324</v>
      </c>
      <c r="G145" s="119">
        <f>'HC-CB'!T160</f>
        <v>166.55753925548714</v>
      </c>
      <c r="H145" s="119">
        <f>'O-LC_DS'!T160</f>
        <v>196.41357255758888</v>
      </c>
      <c r="I145" s="119">
        <f>'O-DC_DS'!T160</f>
        <v>142.30445904272042</v>
      </c>
      <c r="J145" s="119">
        <f>'O-LC_DS-Exp'!T160</f>
        <v>195.74841342242334</v>
      </c>
      <c r="K145" s="114"/>
      <c r="L145" s="119">
        <f>'O-BC-LowD'!T160</f>
        <v>211.82847603131285</v>
      </c>
      <c r="M145" s="119">
        <f>'O-UCBC-LowD'!T160</f>
        <v>203.51925499119585</v>
      </c>
      <c r="N145" s="119">
        <f>'O-LC_DS-LowD'!T160</f>
        <v>196.86000907632561</v>
      </c>
      <c r="S145" s="12"/>
      <c r="T145" s="12"/>
      <c r="U145" s="12"/>
      <c r="V145" s="12"/>
      <c r="W145" s="11"/>
    </row>
    <row r="146" spans="2:26" x14ac:dyDescent="0.3">
      <c r="D146" s="3">
        <v>2040</v>
      </c>
      <c r="E146" s="119">
        <f>'HC-BC'!T161</f>
        <v>105.81193192250653</v>
      </c>
      <c r="F146" s="119">
        <f>'HC-UCBC'!T161</f>
        <v>85.238843298345557</v>
      </c>
      <c r="G146" s="119">
        <f>'HC-CB'!T161</f>
        <v>66.624247623513654</v>
      </c>
      <c r="H146" s="119">
        <f>'O-LC_DS'!T161</f>
        <v>65.682619024039212</v>
      </c>
      <c r="I146" s="119">
        <f>'O-DC_DS'!T161</f>
        <v>33.777114279186016</v>
      </c>
      <c r="J146" s="119">
        <f>'O-LC_DS-Exp'!T161</f>
        <v>54.389767267962533</v>
      </c>
      <c r="K146" s="114"/>
      <c r="L146" s="119">
        <f>'O-BC-LowD'!T161</f>
        <v>94.156452542079705</v>
      </c>
      <c r="M146" s="119">
        <f>'O-UCBC-LowD'!T161</f>
        <v>73.318622030724725</v>
      </c>
      <c r="N146" s="119">
        <f>'O-LC_DS-LowD'!T161</f>
        <v>66.106456808805405</v>
      </c>
      <c r="S146" s="12"/>
      <c r="T146" s="12"/>
      <c r="U146" s="12"/>
      <c r="V146" s="12"/>
      <c r="W146" s="11"/>
    </row>
    <row r="147" spans="2:26" x14ac:dyDescent="0.3">
      <c r="D147" s="3">
        <v>2050</v>
      </c>
      <c r="E147" s="119">
        <f>'HC-BC'!T162</f>
        <v>41.210161472629302</v>
      </c>
      <c r="F147" s="119">
        <f>'HC-UCBC'!T162</f>
        <v>32.892717628603847</v>
      </c>
      <c r="G147" s="119">
        <f>'HC-CB'!T162</f>
        <v>18.057749152754329</v>
      </c>
      <c r="H147" s="119">
        <f>'O-LC_DS'!T162</f>
        <v>15.246330882058379</v>
      </c>
      <c r="I147" s="119">
        <f>'O-DC_DS'!T162</f>
        <v>10.333064246495686</v>
      </c>
      <c r="J147" s="119">
        <f>'O-LC_DS-Exp'!T162</f>
        <v>11.671569857202586</v>
      </c>
      <c r="K147" s="114"/>
      <c r="L147" s="119">
        <f>'O-BC-LowD'!T162</f>
        <v>46.015441265194632</v>
      </c>
      <c r="M147" s="119">
        <f>'O-UCBC-LowD'!T162</f>
        <v>21.510942003764637</v>
      </c>
      <c r="N147" s="119">
        <f>'O-LC_DS-LowD'!T162</f>
        <v>14.968493250609923</v>
      </c>
      <c r="S147" s="12"/>
      <c r="T147" s="12"/>
      <c r="U147" s="12"/>
      <c r="V147" s="12"/>
      <c r="W147" s="11"/>
    </row>
    <row r="148" spans="2:26" x14ac:dyDescent="0.3">
      <c r="E148" s="119"/>
      <c r="F148" s="120"/>
      <c r="G148" s="119"/>
      <c r="H148" s="114"/>
      <c r="I148" s="120"/>
      <c r="J148" s="114"/>
      <c r="K148" s="114"/>
      <c r="L148" s="114"/>
      <c r="M148" s="114"/>
      <c r="N148" s="114"/>
      <c r="S148" s="11"/>
      <c r="T148" s="11"/>
      <c r="U148" s="11"/>
      <c r="V148" s="11"/>
      <c r="W148" s="11"/>
    </row>
    <row r="149" spans="2:26" x14ac:dyDescent="0.3">
      <c r="E149" s="113" t="str">
        <f>E143</f>
        <v>HC-BC</v>
      </c>
      <c r="F149" s="113" t="str">
        <f t="shared" ref="F149" si="24">F143</f>
        <v>HC-UCBC</v>
      </c>
      <c r="G149" s="113" t="str">
        <f>G143</f>
        <v>HC-CB</v>
      </c>
      <c r="H149" s="113" t="str">
        <f>H143</f>
        <v>O-LC_DS</v>
      </c>
      <c r="I149" s="113" t="str">
        <f>I143</f>
        <v>DC_DS</v>
      </c>
      <c r="J149" s="113" t="s">
        <v>130</v>
      </c>
      <c r="K149" s="114"/>
      <c r="L149" s="113" t="str">
        <f t="shared" ref="L149:M149" si="25">L143</f>
        <v>BC-LowD</v>
      </c>
      <c r="M149" s="113" t="str">
        <f t="shared" si="25"/>
        <v>O-UCBC-LowD</v>
      </c>
      <c r="N149" s="113" t="str">
        <f>N143</f>
        <v>O-LC_DS</v>
      </c>
      <c r="S149" s="34"/>
      <c r="T149" s="34"/>
      <c r="U149" s="34"/>
      <c r="V149" s="34"/>
      <c r="W149" s="34"/>
      <c r="X149" s="41"/>
      <c r="Y149" s="41"/>
      <c r="Z149" s="41"/>
    </row>
    <row r="150" spans="2:26" x14ac:dyDescent="0.3">
      <c r="B150" s="41" t="s">
        <v>129</v>
      </c>
      <c r="C150" s="41"/>
      <c r="D150" s="3">
        <v>2016</v>
      </c>
      <c r="E150" s="119">
        <f>'HC-BC'!T275</f>
        <v>79053.500080674828</v>
      </c>
      <c r="F150" s="119">
        <f>'HC-UCBC'!T275</f>
        <v>77015.956310707377</v>
      </c>
      <c r="G150" s="119">
        <f>'HC-CB'!T275</f>
        <v>77015.956310707377</v>
      </c>
      <c r="H150" s="119">
        <f>'O-LC_DS'!T275</f>
        <v>77015.956310707377</v>
      </c>
      <c r="I150" s="119">
        <f>'O-DC_DS'!T275</f>
        <v>77015.956310707377</v>
      </c>
      <c r="J150" s="119">
        <f>'O-LC_DS-Exp'!T275</f>
        <v>77015.956310707377</v>
      </c>
      <c r="L150" s="119">
        <f>'O-BC-LowD'!T275</f>
        <v>79053.500080674828</v>
      </c>
      <c r="M150" s="119">
        <f>'O-UCBC-LowD'!T275</f>
        <v>79053.500080674828</v>
      </c>
      <c r="N150" s="119">
        <f>'O-LC_DS-LowD'!T275</f>
        <v>79053.500080674828</v>
      </c>
      <c r="S150" s="12"/>
      <c r="T150" s="12"/>
      <c r="U150" s="12"/>
      <c r="V150" s="12"/>
      <c r="W150" s="11"/>
    </row>
    <row r="151" spans="2:26" x14ac:dyDescent="0.3">
      <c r="B151" s="41"/>
      <c r="C151" s="41"/>
      <c r="D151" s="3">
        <v>2030</v>
      </c>
      <c r="E151" s="119">
        <f>'HC-BC'!T276</f>
        <v>152986.20555073049</v>
      </c>
      <c r="F151" s="119">
        <f>'HC-UCBC'!T276</f>
        <v>146266.98912635041</v>
      </c>
      <c r="G151" s="119">
        <f>'HC-CB'!T276</f>
        <v>141615.49110759934</v>
      </c>
      <c r="H151" s="119">
        <f>'O-LC_DS'!T276</f>
        <v>149101.33218887026</v>
      </c>
      <c r="I151" s="119">
        <f>'O-DC_DS'!T276</f>
        <v>144164.94516200002</v>
      </c>
      <c r="J151" s="119">
        <f>'O-LC_DS-Exp'!T276</f>
        <v>156344.57377900957</v>
      </c>
      <c r="L151" s="119">
        <f>'O-BC-LowD'!T276</f>
        <v>127307.52095732493</v>
      </c>
      <c r="M151" s="119">
        <f>'O-UCBC-LowD'!T276</f>
        <v>127486.28959356967</v>
      </c>
      <c r="N151" s="119">
        <f>'O-LC_DS-LowD'!T276</f>
        <v>132423.0063966687</v>
      </c>
      <c r="S151" s="12"/>
      <c r="T151" s="12"/>
      <c r="U151" s="12"/>
      <c r="V151" s="12"/>
      <c r="W151" s="11"/>
    </row>
    <row r="152" spans="2:26" x14ac:dyDescent="0.3">
      <c r="D152" s="3">
        <v>2040</v>
      </c>
      <c r="E152" s="119">
        <f>'HC-BC'!T277</f>
        <v>241003.22799117421</v>
      </c>
      <c r="F152" s="119">
        <f>'HC-UCBC'!T277</f>
        <v>233756.64438600949</v>
      </c>
      <c r="G152" s="119">
        <f>'HC-CB'!T277</f>
        <v>215684.86708958051</v>
      </c>
      <c r="H152" s="119">
        <f>'O-LC_DS'!T277</f>
        <v>258550.88515107922</v>
      </c>
      <c r="I152" s="119">
        <f>'O-DC_DS'!T277</f>
        <v>254257.88868301694</v>
      </c>
      <c r="J152" s="119">
        <f>'O-LC_DS-Exp'!T277</f>
        <v>294312.13488227176</v>
      </c>
      <c r="L152" s="119">
        <f>'O-BC-LowD'!T277</f>
        <v>194981.90331403902</v>
      </c>
      <c r="M152" s="119">
        <f>'O-UCBC-LowD'!T277</f>
        <v>182375.02279916799</v>
      </c>
      <c r="N152" s="119">
        <f>'O-LC_DS-LowD'!T277</f>
        <v>210551.25308592466</v>
      </c>
      <c r="S152" s="12"/>
      <c r="T152" s="12"/>
      <c r="U152" s="12"/>
      <c r="V152" s="12"/>
      <c r="W152" s="11"/>
    </row>
    <row r="153" spans="2:26" x14ac:dyDescent="0.3">
      <c r="D153" s="3">
        <v>2050</v>
      </c>
      <c r="E153" s="119">
        <f>'HC-BC'!T278</f>
        <v>295353.77424293506</v>
      </c>
      <c r="F153" s="119">
        <f>'HC-UCBC'!T278</f>
        <v>281296.63854616275</v>
      </c>
      <c r="G153" s="119">
        <f>'HC-CB'!T278</f>
        <v>252875.37418454076</v>
      </c>
      <c r="H153" s="119">
        <f>'O-LC_DS'!T278</f>
        <v>324827.04850555689</v>
      </c>
      <c r="I153" s="119">
        <f>'O-DC_DS'!T278</f>
        <v>331302.73197128635</v>
      </c>
      <c r="J153" s="119">
        <f>'O-LC_DS-Exp'!T278</f>
        <v>391880.67488019919</v>
      </c>
      <c r="L153" s="119">
        <f>'O-BC-LowD'!T278</f>
        <v>244075.04896880538</v>
      </c>
      <c r="M153" s="119">
        <f>'O-UCBC-LowD'!T278</f>
        <v>226952.16134906391</v>
      </c>
      <c r="N153" s="119">
        <f>'O-LC_DS-LowD'!T278</f>
        <v>248245.63829970401</v>
      </c>
      <c r="S153" s="12"/>
      <c r="T153" s="12"/>
      <c r="U153" s="12"/>
      <c r="V153" s="12"/>
      <c r="W153" s="11"/>
    </row>
    <row r="154" spans="2:26" x14ac:dyDescent="0.3">
      <c r="E154" s="114"/>
      <c r="F154" s="114"/>
      <c r="G154" s="114"/>
      <c r="H154" s="114"/>
      <c r="I154" s="119"/>
      <c r="J154" s="114"/>
      <c r="K154" s="114"/>
      <c r="L154" s="114"/>
      <c r="M154" s="114"/>
    </row>
    <row r="155" spans="2:26" x14ac:dyDescent="0.3">
      <c r="E155" s="119"/>
      <c r="F155" s="119"/>
      <c r="G155" s="120"/>
      <c r="H155" s="119"/>
      <c r="I155" s="120"/>
      <c r="J155" s="119"/>
      <c r="K155" s="119"/>
      <c r="L155" s="119"/>
      <c r="M155" s="119"/>
      <c r="N155" s="119"/>
    </row>
    <row r="156" spans="2:26" x14ac:dyDescent="0.3">
      <c r="E156" s="119"/>
      <c r="F156" s="119"/>
      <c r="G156" s="119"/>
      <c r="H156" s="119"/>
      <c r="I156" s="119"/>
      <c r="J156" s="114"/>
      <c r="K156" s="114"/>
      <c r="L156" s="114"/>
      <c r="M156" s="114"/>
      <c r="N156" s="1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433"/>
  <sheetViews>
    <sheetView topLeftCell="A220" zoomScale="85" zoomScaleNormal="85" workbookViewId="0">
      <selection activeCell="T243" sqref="T243:T246"/>
    </sheetView>
  </sheetViews>
  <sheetFormatPr defaultColWidth="9.109375" defaultRowHeight="14.4" x14ac:dyDescent="0.3"/>
  <cols>
    <col min="1" max="1" width="9.109375" style="3"/>
    <col min="2" max="2" width="43.109375" style="3" customWidth="1"/>
    <col min="3" max="3" width="12.33203125" style="3" bestFit="1" customWidth="1"/>
    <col min="4" max="4" width="12.33203125" style="3" customWidth="1"/>
    <col min="5" max="5" width="9.33203125" style="3" bestFit="1" customWidth="1"/>
    <col min="6" max="6" width="11" style="3" bestFit="1" customWidth="1"/>
    <col min="7" max="7" width="10" style="3" bestFit="1" customWidth="1"/>
    <col min="8" max="8" width="9.33203125" style="3" bestFit="1" customWidth="1"/>
    <col min="9" max="10" width="11" style="3" bestFit="1" customWidth="1"/>
    <col min="11" max="11" width="9.33203125" style="3" bestFit="1" customWidth="1"/>
    <col min="12" max="12" width="10" style="3" bestFit="1" customWidth="1"/>
    <col min="13" max="14" width="11" style="3" bestFit="1" customWidth="1"/>
    <col min="15" max="15" width="11" style="3" customWidth="1"/>
    <col min="16" max="16" width="1.5546875" style="11" customWidth="1"/>
    <col min="17" max="17" width="10" style="3" bestFit="1" customWidth="1"/>
    <col min="18" max="18" width="10.88671875" style="3" bestFit="1" customWidth="1"/>
    <col min="19" max="19" width="2.5546875" style="3" customWidth="1"/>
    <col min="20" max="20" width="12.33203125" style="3" bestFit="1" customWidth="1"/>
    <col min="21" max="21" width="9.88671875" style="3" bestFit="1" customWidth="1"/>
    <col min="22" max="22" width="10.33203125" style="3" bestFit="1" customWidth="1"/>
    <col min="23" max="23" width="11.33203125" style="3" bestFit="1" customWidth="1"/>
    <col min="24" max="24" width="10.88671875" style="3" bestFit="1" customWidth="1"/>
    <col min="25" max="25" width="10" style="39" bestFit="1" customWidth="1"/>
    <col min="26" max="26" width="10" style="3" bestFit="1" customWidth="1"/>
    <col min="27" max="36" width="9.33203125" style="3" bestFit="1" customWidth="1"/>
    <col min="37" max="16384" width="9.109375" style="3"/>
  </cols>
  <sheetData>
    <row r="2" spans="2:25" s="9" customFormat="1" ht="21" x14ac:dyDescent="0.35">
      <c r="B2" s="10" t="s">
        <v>11</v>
      </c>
      <c r="Y2" s="86"/>
    </row>
    <row r="3" spans="2:25" ht="30" x14ac:dyDescent="0.25">
      <c r="B3" s="1" t="s">
        <v>31</v>
      </c>
      <c r="C3" s="1" t="s">
        <v>0</v>
      </c>
      <c r="D3" s="43" t="s">
        <v>1</v>
      </c>
      <c r="E3" s="1" t="s">
        <v>28</v>
      </c>
      <c r="F3" s="2" t="s">
        <v>29</v>
      </c>
      <c r="G3" s="2" t="s">
        <v>6</v>
      </c>
      <c r="H3" s="1" t="s">
        <v>2</v>
      </c>
      <c r="I3" s="1" t="s">
        <v>3</v>
      </c>
      <c r="J3" s="1" t="s">
        <v>4</v>
      </c>
      <c r="K3" s="1" t="s">
        <v>9</v>
      </c>
      <c r="L3" s="13" t="s">
        <v>8</v>
      </c>
      <c r="M3" s="13" t="s">
        <v>25</v>
      </c>
      <c r="N3" s="43" t="s">
        <v>7</v>
      </c>
      <c r="O3" s="43" t="s">
        <v>89</v>
      </c>
      <c r="P3" s="25"/>
      <c r="Q3" s="43" t="s">
        <v>5</v>
      </c>
      <c r="R3" s="43" t="s">
        <v>91</v>
      </c>
      <c r="T3" s="43" t="s">
        <v>10</v>
      </c>
    </row>
    <row r="4" spans="2:25" ht="15" x14ac:dyDescent="0.25">
      <c r="B4" s="3">
        <v>2016</v>
      </c>
      <c r="C4" s="49">
        <v>36060</v>
      </c>
      <c r="D4" s="49">
        <v>1860</v>
      </c>
      <c r="E4" s="49">
        <v>424.6</v>
      </c>
      <c r="F4" s="49">
        <v>3419</v>
      </c>
      <c r="G4" s="49">
        <v>2179</v>
      </c>
      <c r="H4" s="49">
        <v>1306</v>
      </c>
      <c r="I4" s="49">
        <v>200</v>
      </c>
      <c r="J4" s="49">
        <v>1479</v>
      </c>
      <c r="K4" s="49">
        <v>0</v>
      </c>
      <c r="L4" s="49">
        <v>264</v>
      </c>
      <c r="M4" s="49">
        <v>0</v>
      </c>
      <c r="N4" s="49">
        <v>1580</v>
      </c>
      <c r="O4" s="49">
        <v>0</v>
      </c>
      <c r="P4" s="89"/>
      <c r="Q4" s="39">
        <f>G4+N4</f>
        <v>3759</v>
      </c>
      <c r="R4" s="5">
        <f>SUM(K4:L4)</f>
        <v>264</v>
      </c>
      <c r="T4" s="5">
        <f>SUM(C4:O4)</f>
        <v>48771.6</v>
      </c>
    </row>
    <row r="5" spans="2:25" ht="15" x14ac:dyDescent="0.25">
      <c r="B5" s="3">
        <v>2030</v>
      </c>
      <c r="C5" s="49">
        <v>23080</v>
      </c>
      <c r="D5" s="49">
        <v>1860</v>
      </c>
      <c r="E5" s="49">
        <v>424.6</v>
      </c>
      <c r="F5" s="49">
        <v>3077</v>
      </c>
      <c r="G5" s="49">
        <v>2179</v>
      </c>
      <c r="H5" s="49">
        <v>1306</v>
      </c>
      <c r="I5" s="49">
        <v>200</v>
      </c>
      <c r="J5" s="49">
        <v>1479</v>
      </c>
      <c r="K5" s="49">
        <v>0</v>
      </c>
      <c r="L5" s="49">
        <v>264</v>
      </c>
      <c r="M5" s="49">
        <v>0</v>
      </c>
      <c r="N5" s="49">
        <v>1580</v>
      </c>
      <c r="O5" s="49">
        <v>0</v>
      </c>
      <c r="P5" s="89"/>
      <c r="Q5" s="39">
        <f>G5+N5</f>
        <v>3759</v>
      </c>
      <c r="R5" s="5">
        <f>SUM(K5:L5)</f>
        <v>264</v>
      </c>
      <c r="T5" s="5">
        <f>SUM(C5:O5)</f>
        <v>35449.599999999999</v>
      </c>
    </row>
    <row r="6" spans="2:25" ht="15" x14ac:dyDescent="0.25">
      <c r="B6" s="3">
        <v>2040</v>
      </c>
      <c r="C6" s="49">
        <v>7660</v>
      </c>
      <c r="D6" s="49">
        <v>1860</v>
      </c>
      <c r="E6" s="49">
        <v>424.6</v>
      </c>
      <c r="F6" s="49">
        <v>1005</v>
      </c>
      <c r="G6" s="49">
        <v>2179</v>
      </c>
      <c r="H6" s="49">
        <v>0</v>
      </c>
      <c r="I6" s="49">
        <v>200</v>
      </c>
      <c r="J6" s="49">
        <v>435</v>
      </c>
      <c r="K6" s="49">
        <v>0</v>
      </c>
      <c r="L6" s="49">
        <v>264</v>
      </c>
      <c r="M6" s="49">
        <v>0</v>
      </c>
      <c r="N6" s="49">
        <v>1580</v>
      </c>
      <c r="O6" s="49">
        <v>0</v>
      </c>
      <c r="P6" s="89"/>
      <c r="Q6" s="39">
        <f>G6+N6</f>
        <v>3759</v>
      </c>
      <c r="R6" s="5">
        <f>SUM(K6:L6)</f>
        <v>264</v>
      </c>
      <c r="T6" s="5">
        <f>SUM(C6:O6)</f>
        <v>15607.6</v>
      </c>
    </row>
    <row r="7" spans="2:25" ht="15" x14ac:dyDescent="0.25">
      <c r="B7" s="3">
        <v>2050</v>
      </c>
      <c r="C7" s="49">
        <v>670</v>
      </c>
      <c r="D7" s="49">
        <v>0</v>
      </c>
      <c r="E7" s="49">
        <v>424.6</v>
      </c>
      <c r="F7" s="49">
        <v>0</v>
      </c>
      <c r="G7" s="49">
        <v>2179</v>
      </c>
      <c r="H7" s="49">
        <v>0</v>
      </c>
      <c r="I7" s="49">
        <v>0</v>
      </c>
      <c r="J7" s="49">
        <v>0</v>
      </c>
      <c r="K7" s="49">
        <v>0</v>
      </c>
      <c r="L7" s="49">
        <v>264</v>
      </c>
      <c r="M7" s="49">
        <v>0</v>
      </c>
      <c r="N7" s="49">
        <v>1580</v>
      </c>
      <c r="O7" s="49">
        <v>0</v>
      </c>
      <c r="P7" s="89"/>
      <c r="Q7" s="39">
        <f>G7+N7</f>
        <v>3759</v>
      </c>
      <c r="R7" s="5">
        <f>SUM(K7:L7)</f>
        <v>264</v>
      </c>
      <c r="T7" s="5">
        <f>SUM(C7:O7)</f>
        <v>5117.6000000000004</v>
      </c>
    </row>
    <row r="9" spans="2:25" ht="30" x14ac:dyDescent="0.25">
      <c r="B9" s="43" t="s">
        <v>30</v>
      </c>
      <c r="C9" s="43" t="s">
        <v>0</v>
      </c>
      <c r="D9" s="43" t="s">
        <v>1</v>
      </c>
      <c r="E9" s="43" t="s">
        <v>28</v>
      </c>
      <c r="F9" s="2" t="s">
        <v>29</v>
      </c>
      <c r="G9" s="2" t="s">
        <v>6</v>
      </c>
      <c r="H9" s="43" t="s">
        <v>2</v>
      </c>
      <c r="I9" s="43" t="s">
        <v>3</v>
      </c>
      <c r="J9" s="43" t="s">
        <v>4</v>
      </c>
      <c r="K9" s="43" t="s">
        <v>9</v>
      </c>
      <c r="L9" s="43" t="s">
        <v>8</v>
      </c>
      <c r="M9" s="43" t="s">
        <v>25</v>
      </c>
      <c r="N9" s="43" t="s">
        <v>7</v>
      </c>
      <c r="O9" s="43" t="s">
        <v>89</v>
      </c>
      <c r="P9" s="25"/>
      <c r="Q9" s="43" t="s">
        <v>5</v>
      </c>
      <c r="R9" s="43" t="s">
        <v>91</v>
      </c>
      <c r="T9" s="43" t="s">
        <v>10</v>
      </c>
    </row>
    <row r="10" spans="2:25" ht="15" x14ac:dyDescent="0.25">
      <c r="B10" s="3">
        <v>2016</v>
      </c>
      <c r="C10" s="49">
        <v>722</v>
      </c>
      <c r="D10" s="49">
        <v>0</v>
      </c>
      <c r="E10" s="49">
        <v>0</v>
      </c>
      <c r="F10" s="49">
        <v>0</v>
      </c>
      <c r="G10" s="49">
        <v>0</v>
      </c>
      <c r="H10" s="49">
        <v>154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89"/>
      <c r="Q10" s="39">
        <f>G10+N10</f>
        <v>0</v>
      </c>
      <c r="R10" s="5">
        <f>SUM(K10:L10)</f>
        <v>0</v>
      </c>
      <c r="T10" s="5">
        <f>SUM(C10:O10)</f>
        <v>876</v>
      </c>
    </row>
    <row r="11" spans="2:25" ht="15" x14ac:dyDescent="0.25">
      <c r="B11" s="3">
        <v>2030</v>
      </c>
      <c r="C11" s="49">
        <v>9536</v>
      </c>
      <c r="D11" s="49">
        <v>0</v>
      </c>
      <c r="E11" s="49">
        <v>0</v>
      </c>
      <c r="F11" s="49">
        <v>0</v>
      </c>
      <c r="G11" s="49">
        <v>45</v>
      </c>
      <c r="H11" s="49">
        <v>2800</v>
      </c>
      <c r="I11" s="49">
        <v>850</v>
      </c>
      <c r="J11" s="49">
        <v>1332</v>
      </c>
      <c r="K11" s="49">
        <v>53</v>
      </c>
      <c r="L11" s="49">
        <v>153</v>
      </c>
      <c r="M11" s="49">
        <v>0</v>
      </c>
      <c r="N11" s="49">
        <v>1332</v>
      </c>
      <c r="O11" s="49">
        <v>0</v>
      </c>
      <c r="P11" s="89"/>
      <c r="Q11" s="39">
        <f>G11+N11</f>
        <v>1377</v>
      </c>
      <c r="R11" s="5">
        <f>SUM(K11:L11)</f>
        <v>206</v>
      </c>
      <c r="T11" s="5">
        <f>SUM(C11:O11)</f>
        <v>16101</v>
      </c>
    </row>
    <row r="12" spans="2:25" ht="15" x14ac:dyDescent="0.25">
      <c r="B12" s="3">
        <v>2040</v>
      </c>
      <c r="C12" s="49">
        <v>9536</v>
      </c>
      <c r="D12" s="49">
        <v>0</v>
      </c>
      <c r="E12" s="49">
        <v>0</v>
      </c>
      <c r="F12" s="49">
        <v>0</v>
      </c>
      <c r="G12" s="49">
        <v>45</v>
      </c>
      <c r="H12" s="49">
        <v>0</v>
      </c>
      <c r="I12" s="49">
        <v>850</v>
      </c>
      <c r="J12" s="49">
        <v>1332</v>
      </c>
      <c r="K12" s="49">
        <v>53</v>
      </c>
      <c r="L12" s="49">
        <v>153</v>
      </c>
      <c r="M12" s="49">
        <v>0</v>
      </c>
      <c r="N12" s="49">
        <v>1332</v>
      </c>
      <c r="O12" s="49">
        <v>0</v>
      </c>
      <c r="P12" s="89"/>
      <c r="Q12" s="39">
        <f>G12+N12</f>
        <v>1377</v>
      </c>
      <c r="R12" s="5">
        <f>SUM(K12:L12)</f>
        <v>206</v>
      </c>
      <c r="T12" s="5">
        <f>SUM(C12:O12)</f>
        <v>13301</v>
      </c>
    </row>
    <row r="13" spans="2:25" ht="15" x14ac:dyDescent="0.25">
      <c r="B13" s="3">
        <v>2050</v>
      </c>
      <c r="C13" s="49">
        <v>9536</v>
      </c>
      <c r="D13" s="49">
        <v>0</v>
      </c>
      <c r="E13" s="49">
        <v>0</v>
      </c>
      <c r="F13" s="49">
        <v>0</v>
      </c>
      <c r="G13" s="49">
        <v>45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1332</v>
      </c>
      <c r="O13" s="49">
        <v>0</v>
      </c>
      <c r="P13" s="89"/>
      <c r="Q13" s="39">
        <f>G13+N13</f>
        <v>1377</v>
      </c>
      <c r="R13" s="5">
        <f>SUM(K13:L13)</f>
        <v>0</v>
      </c>
      <c r="T13" s="5">
        <f>SUM(C13:O13)</f>
        <v>10913</v>
      </c>
    </row>
    <row r="15" spans="2:25" ht="30" x14ac:dyDescent="0.25">
      <c r="B15" s="1" t="s">
        <v>32</v>
      </c>
      <c r="C15" s="43" t="s">
        <v>0</v>
      </c>
      <c r="D15" s="43" t="s">
        <v>1</v>
      </c>
      <c r="E15" s="43" t="s">
        <v>28</v>
      </c>
      <c r="F15" s="2" t="s">
        <v>29</v>
      </c>
      <c r="G15" s="2" t="s">
        <v>6</v>
      </c>
      <c r="H15" s="43" t="s">
        <v>2</v>
      </c>
      <c r="I15" s="43" t="s">
        <v>3</v>
      </c>
      <c r="J15" s="43" t="s">
        <v>4</v>
      </c>
      <c r="K15" s="43" t="s">
        <v>9</v>
      </c>
      <c r="L15" s="43" t="s">
        <v>8</v>
      </c>
      <c r="M15" s="43" t="s">
        <v>25</v>
      </c>
      <c r="N15" s="43" t="s">
        <v>7</v>
      </c>
      <c r="O15" s="43" t="s">
        <v>89</v>
      </c>
      <c r="P15" s="25"/>
      <c r="Q15" s="43" t="s">
        <v>5</v>
      </c>
      <c r="R15" s="43" t="s">
        <v>91</v>
      </c>
      <c r="T15" s="43" t="s">
        <v>10</v>
      </c>
    </row>
    <row r="16" spans="2:25" ht="15" x14ac:dyDescent="0.25">
      <c r="B16" s="3">
        <v>2016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89"/>
      <c r="Q16" s="39">
        <f>G16+N16</f>
        <v>0</v>
      </c>
      <c r="R16" s="5">
        <f>SUM(K16:L16)</f>
        <v>0</v>
      </c>
      <c r="T16" s="5">
        <f>SUM(C16:O16)</f>
        <v>0</v>
      </c>
    </row>
    <row r="17" spans="1:25" ht="15" x14ac:dyDescent="0.25">
      <c r="B17" s="3">
        <v>2030</v>
      </c>
      <c r="C17" s="49">
        <v>5250</v>
      </c>
      <c r="D17" s="49">
        <v>0</v>
      </c>
      <c r="E17" s="49">
        <v>7320</v>
      </c>
      <c r="F17" s="49">
        <v>5412</v>
      </c>
      <c r="G17" s="49">
        <v>1000</v>
      </c>
      <c r="H17" s="49">
        <v>7000</v>
      </c>
      <c r="I17" s="49">
        <v>0</v>
      </c>
      <c r="J17" s="49">
        <v>4680</v>
      </c>
      <c r="K17" s="49">
        <v>250</v>
      </c>
      <c r="L17" s="49">
        <v>0</v>
      </c>
      <c r="M17" s="49">
        <v>1000</v>
      </c>
      <c r="N17" s="49">
        <v>0</v>
      </c>
      <c r="O17" s="49">
        <v>0</v>
      </c>
      <c r="P17" s="89"/>
      <c r="Q17" s="39">
        <f>G17+N17</f>
        <v>1000</v>
      </c>
      <c r="R17" s="5">
        <f>SUM(K17:L17)</f>
        <v>250</v>
      </c>
      <c r="T17" s="5">
        <f>SUM(C17:O17)</f>
        <v>31912</v>
      </c>
    </row>
    <row r="18" spans="1:25" ht="15" x14ac:dyDescent="0.25">
      <c r="B18" s="3">
        <v>2040</v>
      </c>
      <c r="C18" s="49">
        <v>14250</v>
      </c>
      <c r="D18" s="49">
        <v>2718</v>
      </c>
      <c r="E18" s="49">
        <v>16836</v>
      </c>
      <c r="F18" s="49">
        <v>11352</v>
      </c>
      <c r="G18" s="49">
        <v>2500</v>
      </c>
      <c r="H18" s="49">
        <v>21300</v>
      </c>
      <c r="I18" s="49">
        <v>0</v>
      </c>
      <c r="J18" s="49">
        <v>10620</v>
      </c>
      <c r="K18" s="49">
        <v>250</v>
      </c>
      <c r="L18" s="49">
        <v>0</v>
      </c>
      <c r="M18" s="49">
        <v>1000</v>
      </c>
      <c r="N18" s="49">
        <v>0</v>
      </c>
      <c r="O18" s="49">
        <v>0</v>
      </c>
      <c r="P18" s="89"/>
      <c r="Q18" s="39">
        <f>G18+N18</f>
        <v>2500</v>
      </c>
      <c r="R18" s="5">
        <f>SUM(K18:L18)</f>
        <v>250</v>
      </c>
      <c r="T18" s="5">
        <f>SUM(C18:O18)</f>
        <v>80826</v>
      </c>
    </row>
    <row r="19" spans="1:25" ht="15" x14ac:dyDescent="0.25">
      <c r="B19" s="3">
        <v>2050</v>
      </c>
      <c r="C19" s="49">
        <v>15000</v>
      </c>
      <c r="D19" s="49">
        <v>20385</v>
      </c>
      <c r="E19" s="49">
        <v>21960</v>
      </c>
      <c r="F19" s="49">
        <v>13332</v>
      </c>
      <c r="G19" s="49">
        <v>2500</v>
      </c>
      <c r="H19" s="49">
        <v>30400</v>
      </c>
      <c r="I19" s="49">
        <v>0</v>
      </c>
      <c r="J19" s="49">
        <v>15820</v>
      </c>
      <c r="K19" s="49">
        <v>250</v>
      </c>
      <c r="L19" s="49">
        <v>0</v>
      </c>
      <c r="M19" s="49">
        <v>500</v>
      </c>
      <c r="N19" s="49">
        <v>0</v>
      </c>
      <c r="O19" s="49">
        <v>0</v>
      </c>
      <c r="P19" s="89"/>
      <c r="Q19" s="39">
        <f>G19+N19</f>
        <v>2500</v>
      </c>
      <c r="R19" s="5">
        <f>SUM(K19:L19)</f>
        <v>250</v>
      </c>
      <c r="T19" s="5">
        <f>SUM(C19:O19)</f>
        <v>120147</v>
      </c>
    </row>
    <row r="21" spans="1:25" ht="30" x14ac:dyDescent="0.25">
      <c r="B21" s="1" t="s">
        <v>33</v>
      </c>
      <c r="C21" s="43" t="s">
        <v>0</v>
      </c>
      <c r="D21" s="43" t="s">
        <v>1</v>
      </c>
      <c r="E21" s="43" t="s">
        <v>28</v>
      </c>
      <c r="F21" s="2" t="s">
        <v>29</v>
      </c>
      <c r="G21" s="2" t="s">
        <v>6</v>
      </c>
      <c r="H21" s="43" t="s">
        <v>2</v>
      </c>
      <c r="I21" s="43" t="s">
        <v>3</v>
      </c>
      <c r="J21" s="43" t="s">
        <v>4</v>
      </c>
      <c r="K21" s="43" t="s">
        <v>9</v>
      </c>
      <c r="L21" s="43" t="s">
        <v>8</v>
      </c>
      <c r="M21" s="43" t="s">
        <v>25</v>
      </c>
      <c r="N21" s="43" t="s">
        <v>7</v>
      </c>
      <c r="O21" s="43" t="s">
        <v>89</v>
      </c>
      <c r="P21" s="25"/>
      <c r="Q21" s="43" t="s">
        <v>5</v>
      </c>
      <c r="R21" s="43" t="s">
        <v>91</v>
      </c>
      <c r="T21" s="43" t="s">
        <v>10</v>
      </c>
      <c r="V21" s="25"/>
      <c r="W21" s="25"/>
    </row>
    <row r="22" spans="1:25" ht="15" x14ac:dyDescent="0.25">
      <c r="A22" s="15">
        <f>C22-C16</f>
        <v>36782</v>
      </c>
      <c r="B22" s="3">
        <v>2016</v>
      </c>
      <c r="C22" s="50">
        <f t="shared" ref="C22:O22" si="0">C4+C10+C16</f>
        <v>36782</v>
      </c>
      <c r="D22" s="50">
        <f t="shared" si="0"/>
        <v>1860</v>
      </c>
      <c r="E22" s="50">
        <f t="shared" si="0"/>
        <v>424.6</v>
      </c>
      <c r="F22" s="50">
        <f t="shared" si="0"/>
        <v>3419</v>
      </c>
      <c r="G22" s="50">
        <f t="shared" si="0"/>
        <v>2179</v>
      </c>
      <c r="H22" s="50">
        <f t="shared" si="0"/>
        <v>1460</v>
      </c>
      <c r="I22" s="50">
        <f t="shared" si="0"/>
        <v>200</v>
      </c>
      <c r="J22" s="50">
        <f t="shared" si="0"/>
        <v>1479</v>
      </c>
      <c r="K22" s="50">
        <f t="shared" si="0"/>
        <v>0</v>
      </c>
      <c r="L22" s="50">
        <f t="shared" si="0"/>
        <v>264</v>
      </c>
      <c r="M22" s="50">
        <f t="shared" si="0"/>
        <v>0</v>
      </c>
      <c r="N22" s="50">
        <f t="shared" si="0"/>
        <v>1580</v>
      </c>
      <c r="O22" s="50">
        <f t="shared" si="0"/>
        <v>0</v>
      </c>
      <c r="P22" s="56"/>
      <c r="Q22" s="39">
        <f>G22+N22</f>
        <v>3759</v>
      </c>
      <c r="R22" s="5">
        <f>SUM(K22:L22)</f>
        <v>264</v>
      </c>
      <c r="T22" s="5">
        <f>SUM(C22:O22)</f>
        <v>49647.6</v>
      </c>
      <c r="V22" s="24"/>
      <c r="W22" s="26"/>
    </row>
    <row r="23" spans="1:25" ht="15" x14ac:dyDescent="0.25">
      <c r="A23" s="15">
        <f>C23-C17</f>
        <v>32616</v>
      </c>
      <c r="B23" s="3">
        <v>2030</v>
      </c>
      <c r="C23" s="50">
        <f t="shared" ref="C23:O23" si="1">C5+C11+C17</f>
        <v>37866</v>
      </c>
      <c r="D23" s="50">
        <f t="shared" si="1"/>
        <v>1860</v>
      </c>
      <c r="E23" s="50">
        <f t="shared" si="1"/>
        <v>7744.6</v>
      </c>
      <c r="F23" s="50">
        <f t="shared" si="1"/>
        <v>8489</v>
      </c>
      <c r="G23" s="50">
        <f t="shared" si="1"/>
        <v>3224</v>
      </c>
      <c r="H23" s="50">
        <f t="shared" si="1"/>
        <v>11106</v>
      </c>
      <c r="I23" s="50">
        <f t="shared" si="1"/>
        <v>1050</v>
      </c>
      <c r="J23" s="50">
        <f t="shared" si="1"/>
        <v>7491</v>
      </c>
      <c r="K23" s="50">
        <f t="shared" si="1"/>
        <v>303</v>
      </c>
      <c r="L23" s="50">
        <f t="shared" si="1"/>
        <v>417</v>
      </c>
      <c r="M23" s="50">
        <f t="shared" si="1"/>
        <v>1000</v>
      </c>
      <c r="N23" s="50">
        <f t="shared" si="1"/>
        <v>2912</v>
      </c>
      <c r="O23" s="50">
        <f t="shared" si="1"/>
        <v>0</v>
      </c>
      <c r="P23" s="56"/>
      <c r="Q23" s="39">
        <f>G23+N23</f>
        <v>6136</v>
      </c>
      <c r="R23" s="5">
        <f>SUM(K23:L23)</f>
        <v>720</v>
      </c>
      <c r="T23" s="5">
        <f>SUM(C23:O23)</f>
        <v>83462.600000000006</v>
      </c>
      <c r="V23" s="24"/>
      <c r="W23" s="26"/>
    </row>
    <row r="24" spans="1:25" ht="15" x14ac:dyDescent="0.25">
      <c r="A24" s="15">
        <f>C24-C18</f>
        <v>17196</v>
      </c>
      <c r="B24" s="3">
        <v>2040</v>
      </c>
      <c r="C24" s="50">
        <f t="shared" ref="C24:O24" si="2">C6+C12+C18</f>
        <v>31446</v>
      </c>
      <c r="D24" s="50">
        <f t="shared" si="2"/>
        <v>4578</v>
      </c>
      <c r="E24" s="50">
        <f t="shared" si="2"/>
        <v>17260.599999999999</v>
      </c>
      <c r="F24" s="50">
        <f t="shared" si="2"/>
        <v>12357</v>
      </c>
      <c r="G24" s="50">
        <f t="shared" si="2"/>
        <v>4724</v>
      </c>
      <c r="H24" s="50">
        <f t="shared" si="2"/>
        <v>21300</v>
      </c>
      <c r="I24" s="50">
        <f t="shared" si="2"/>
        <v>1050</v>
      </c>
      <c r="J24" s="50">
        <f t="shared" si="2"/>
        <v>12387</v>
      </c>
      <c r="K24" s="50">
        <f t="shared" si="2"/>
        <v>303</v>
      </c>
      <c r="L24" s="50">
        <f t="shared" si="2"/>
        <v>417</v>
      </c>
      <c r="M24" s="50">
        <f t="shared" si="2"/>
        <v>1000</v>
      </c>
      <c r="N24" s="50">
        <f t="shared" si="2"/>
        <v>2912</v>
      </c>
      <c r="O24" s="50">
        <f t="shared" si="2"/>
        <v>0</v>
      </c>
      <c r="P24" s="56"/>
      <c r="Q24" s="39">
        <f>G24+N24</f>
        <v>7636</v>
      </c>
      <c r="R24" s="5">
        <f>SUM(K24:L24)</f>
        <v>720</v>
      </c>
      <c r="T24" s="5">
        <f>SUM(C24:O24)</f>
        <v>109734.6</v>
      </c>
      <c r="V24" s="24"/>
      <c r="W24" s="26"/>
    </row>
    <row r="25" spans="1:25" ht="15" x14ac:dyDescent="0.25">
      <c r="A25" s="15">
        <f>C25-C19</f>
        <v>10206</v>
      </c>
      <c r="B25" s="3">
        <v>2050</v>
      </c>
      <c r="C25" s="50">
        <f t="shared" ref="C25:O25" si="3">C7+C13+C19</f>
        <v>25206</v>
      </c>
      <c r="D25" s="50">
        <f t="shared" si="3"/>
        <v>20385</v>
      </c>
      <c r="E25" s="50">
        <f t="shared" si="3"/>
        <v>22384.6</v>
      </c>
      <c r="F25" s="50">
        <f t="shared" si="3"/>
        <v>13332</v>
      </c>
      <c r="G25" s="50">
        <f t="shared" si="3"/>
        <v>4724</v>
      </c>
      <c r="H25" s="50">
        <f t="shared" si="3"/>
        <v>30400</v>
      </c>
      <c r="I25" s="50">
        <f t="shared" si="3"/>
        <v>0</v>
      </c>
      <c r="J25" s="50">
        <f t="shared" si="3"/>
        <v>15820</v>
      </c>
      <c r="K25" s="50">
        <f t="shared" si="3"/>
        <v>250</v>
      </c>
      <c r="L25" s="50">
        <f t="shared" si="3"/>
        <v>264</v>
      </c>
      <c r="M25" s="50">
        <f t="shared" si="3"/>
        <v>500</v>
      </c>
      <c r="N25" s="50">
        <f t="shared" si="3"/>
        <v>2912</v>
      </c>
      <c r="O25" s="50">
        <f t="shared" si="3"/>
        <v>0</v>
      </c>
      <c r="P25" s="56"/>
      <c r="Q25" s="39">
        <f>G25+N25</f>
        <v>7636</v>
      </c>
      <c r="R25" s="5">
        <f>SUM(K25:L25)</f>
        <v>514</v>
      </c>
      <c r="T25" s="5">
        <f>SUM(C25:O25)</f>
        <v>136177.60000000001</v>
      </c>
      <c r="V25" s="24"/>
      <c r="W25" s="26"/>
    </row>
    <row r="26" spans="1:25" ht="15" x14ac:dyDescent="0.25">
      <c r="V26" s="11"/>
      <c r="W26" s="11"/>
    </row>
    <row r="27" spans="1:25" ht="15" x14ac:dyDescent="0.25">
      <c r="B27" s="3">
        <v>2016</v>
      </c>
      <c r="C27" s="23">
        <f t="shared" ref="C27:O27" si="4">C22/$T22</f>
        <v>0.74086159250396799</v>
      </c>
      <c r="D27" s="23">
        <f t="shared" si="4"/>
        <v>3.74640466004399E-2</v>
      </c>
      <c r="E27" s="23">
        <f t="shared" si="4"/>
        <v>8.5522764443799904E-3</v>
      </c>
      <c r="F27" s="23">
        <f t="shared" si="4"/>
        <v>6.8865363078980654E-2</v>
      </c>
      <c r="G27" s="23">
        <f t="shared" si="4"/>
        <v>4.3889332012020721E-2</v>
      </c>
      <c r="H27" s="23">
        <f t="shared" si="4"/>
        <v>2.9407262385291535E-2</v>
      </c>
      <c r="I27" s="23">
        <f t="shared" si="4"/>
        <v>4.0283921075741826E-3</v>
      </c>
      <c r="J27" s="23">
        <f t="shared" si="4"/>
        <v>2.9789959635511083E-2</v>
      </c>
      <c r="K27" s="23">
        <f t="shared" si="4"/>
        <v>0</v>
      </c>
      <c r="L27" s="23">
        <f t="shared" si="4"/>
        <v>5.3174775819979214E-3</v>
      </c>
      <c r="M27" s="23">
        <f t="shared" si="4"/>
        <v>0</v>
      </c>
      <c r="N27" s="23">
        <f t="shared" si="4"/>
        <v>3.1824297649836047E-2</v>
      </c>
      <c r="O27" s="23">
        <f t="shared" si="4"/>
        <v>0</v>
      </c>
      <c r="P27" s="26"/>
      <c r="Q27" s="7">
        <f t="shared" ref="Q27:R30" si="5">Q22/$T22</f>
        <v>7.5713629661856768E-2</v>
      </c>
      <c r="R27" s="7">
        <f t="shared" si="5"/>
        <v>5.3174775819979214E-3</v>
      </c>
      <c r="T27" s="8">
        <f>SUM(C27:O27)</f>
        <v>1</v>
      </c>
    </row>
    <row r="28" spans="1:25" ht="15" x14ac:dyDescent="0.25">
      <c r="B28" s="3">
        <v>2030</v>
      </c>
      <c r="C28" s="23">
        <f t="shared" ref="C28:O28" si="6">C23/$T23</f>
        <v>0.45368823880396725</v>
      </c>
      <c r="D28" s="23">
        <f t="shared" si="6"/>
        <v>2.2285430839681486E-2</v>
      </c>
      <c r="E28" s="23">
        <f t="shared" si="6"/>
        <v>9.2791262194084539E-2</v>
      </c>
      <c r="F28" s="23">
        <f t="shared" si="6"/>
        <v>0.10171022709572909</v>
      </c>
      <c r="G28" s="23">
        <f t="shared" si="6"/>
        <v>3.8628080122114571E-2</v>
      </c>
      <c r="H28" s="23">
        <f t="shared" si="6"/>
        <v>0.13306558865887236</v>
      </c>
      <c r="I28" s="23">
        <f t="shared" si="6"/>
        <v>1.2580485151433096E-2</v>
      </c>
      <c r="J28" s="23">
        <f t="shared" si="6"/>
        <v>8.9752775494652687E-2</v>
      </c>
      <c r="K28" s="23">
        <f t="shared" si="6"/>
        <v>3.6303685722706936E-3</v>
      </c>
      <c r="L28" s="23">
        <f t="shared" si="6"/>
        <v>4.9962498172834297E-3</v>
      </c>
      <c r="M28" s="23">
        <f t="shared" si="6"/>
        <v>1.1981414429936282E-2</v>
      </c>
      <c r="N28" s="23">
        <f t="shared" si="6"/>
        <v>3.4889878819974456E-2</v>
      </c>
      <c r="O28" s="23">
        <f t="shared" si="6"/>
        <v>0</v>
      </c>
      <c r="P28" s="26"/>
      <c r="Q28" s="7">
        <f t="shared" si="5"/>
        <v>7.3517958942089026E-2</v>
      </c>
      <c r="R28" s="7">
        <f t="shared" si="5"/>
        <v>8.6266183895541224E-3</v>
      </c>
      <c r="T28" s="8">
        <f>SUM(C28:O28)</f>
        <v>0.99999999999999978</v>
      </c>
    </row>
    <row r="29" spans="1:25" ht="15" x14ac:dyDescent="0.25">
      <c r="B29" s="3">
        <v>2040</v>
      </c>
      <c r="C29" s="23">
        <f t="shared" ref="C29:O29" si="7">C24/$T24</f>
        <v>0.28656412836060824</v>
      </c>
      <c r="D29" s="23">
        <f t="shared" si="7"/>
        <v>4.1718837996402226E-2</v>
      </c>
      <c r="E29" s="23">
        <f t="shared" si="7"/>
        <v>0.15729405310631284</v>
      </c>
      <c r="F29" s="23">
        <f t="shared" si="7"/>
        <v>0.11260805616460076</v>
      </c>
      <c r="G29" s="23">
        <f t="shared" si="7"/>
        <v>4.3049320815859354E-2</v>
      </c>
      <c r="H29" s="23">
        <f t="shared" si="7"/>
        <v>0.19410468530436159</v>
      </c>
      <c r="I29" s="23">
        <f t="shared" si="7"/>
        <v>9.5685408248628954E-3</v>
      </c>
      <c r="J29" s="23">
        <f t="shared" si="7"/>
        <v>0.11288144304531114</v>
      </c>
      <c r="K29" s="23">
        <f t="shared" si="7"/>
        <v>2.7612074951747214E-3</v>
      </c>
      <c r="L29" s="23">
        <f t="shared" si="7"/>
        <v>3.8000776418741214E-3</v>
      </c>
      <c r="M29" s="23">
        <f t="shared" si="7"/>
        <v>9.1128960236789482E-3</v>
      </c>
      <c r="N29" s="23">
        <f t="shared" si="7"/>
        <v>2.6536753220953099E-2</v>
      </c>
      <c r="O29" s="23">
        <f t="shared" si="7"/>
        <v>0</v>
      </c>
      <c r="P29" s="26"/>
      <c r="Q29" s="7">
        <f t="shared" si="5"/>
        <v>6.9586074036812454E-2</v>
      </c>
      <c r="R29" s="7">
        <f t="shared" si="5"/>
        <v>6.5612851370488428E-3</v>
      </c>
      <c r="T29" s="8">
        <f>SUM(C29:O29)</f>
        <v>0.99999999999999978</v>
      </c>
    </row>
    <row r="30" spans="1:25" ht="15" x14ac:dyDescent="0.25">
      <c r="B30" s="3">
        <v>2050</v>
      </c>
      <c r="C30" s="23">
        <f t="shared" ref="C30:O30" si="8">C25/$T25</f>
        <v>0.185096521013735</v>
      </c>
      <c r="D30" s="23">
        <f t="shared" si="8"/>
        <v>0.14969422283841102</v>
      </c>
      <c r="E30" s="23">
        <f t="shared" si="8"/>
        <v>0.16437798874411061</v>
      </c>
      <c r="F30" s="23">
        <f t="shared" si="8"/>
        <v>9.7901563840161673E-2</v>
      </c>
      <c r="G30" s="23">
        <f t="shared" si="8"/>
        <v>3.4689993067876068E-2</v>
      </c>
      <c r="H30" s="23">
        <f t="shared" si="8"/>
        <v>0.22323788934450306</v>
      </c>
      <c r="I30" s="23">
        <f t="shared" si="8"/>
        <v>0</v>
      </c>
      <c r="J30" s="23">
        <f t="shared" si="8"/>
        <v>0.11617182267861968</v>
      </c>
      <c r="K30" s="23">
        <f t="shared" si="8"/>
        <v>1.8358379057936106E-3</v>
      </c>
      <c r="L30" s="23">
        <f t="shared" si="8"/>
        <v>1.9386448285180528E-3</v>
      </c>
      <c r="M30" s="23">
        <f t="shared" si="8"/>
        <v>3.6716758115872212E-3</v>
      </c>
      <c r="N30" s="23">
        <f t="shared" si="8"/>
        <v>2.1383839926683978E-2</v>
      </c>
      <c r="O30" s="23">
        <f t="shared" si="8"/>
        <v>0</v>
      </c>
      <c r="P30" s="26"/>
      <c r="Q30" s="7">
        <f t="shared" si="5"/>
        <v>5.6073832994560042E-2</v>
      </c>
      <c r="R30" s="7">
        <f t="shared" si="5"/>
        <v>3.7744827343116636E-3</v>
      </c>
      <c r="T30" s="8">
        <f>SUM(C30:O30)</f>
        <v>1</v>
      </c>
    </row>
    <row r="32" spans="1:25" s="9" customFormat="1" ht="21" x14ac:dyDescent="0.35">
      <c r="B32" s="10" t="s">
        <v>53</v>
      </c>
      <c r="Y32" s="86"/>
    </row>
    <row r="33" spans="2:36" ht="30" x14ac:dyDescent="0.25">
      <c r="B33" s="43" t="s">
        <v>34</v>
      </c>
      <c r="C33" s="43" t="s">
        <v>0</v>
      </c>
      <c r="D33" s="43" t="s">
        <v>1</v>
      </c>
      <c r="E33" s="43" t="s">
        <v>28</v>
      </c>
      <c r="F33" s="2" t="s">
        <v>29</v>
      </c>
      <c r="G33" s="2" t="s">
        <v>6</v>
      </c>
      <c r="H33" s="43" t="s">
        <v>2</v>
      </c>
      <c r="I33" s="43" t="s">
        <v>3</v>
      </c>
      <c r="J33" s="43" t="s">
        <v>4</v>
      </c>
      <c r="K33" s="43" t="s">
        <v>9</v>
      </c>
      <c r="L33" s="43" t="s">
        <v>8</v>
      </c>
      <c r="M33" s="43" t="s">
        <v>25</v>
      </c>
      <c r="N33" s="43" t="s">
        <v>7</v>
      </c>
      <c r="O33" s="43" t="s">
        <v>89</v>
      </c>
      <c r="P33" s="25"/>
      <c r="Q33" s="43" t="s">
        <v>5</v>
      </c>
      <c r="R33" s="43" t="s">
        <v>91</v>
      </c>
      <c r="T33" s="43" t="s">
        <v>10</v>
      </c>
      <c r="X33" s="39"/>
      <c r="Z33" s="39"/>
    </row>
    <row r="34" spans="2:36" ht="15" x14ac:dyDescent="0.25">
      <c r="B34" s="3">
        <v>2016</v>
      </c>
      <c r="C34" s="44">
        <f>Y34*(Inputs_Summary!$E72/$Y52)</f>
        <v>194808.80434990322</v>
      </c>
      <c r="D34" s="102">
        <f>Z34*(Inputs_Summary!$E72/$Y52)</f>
        <v>14743.87884401034</v>
      </c>
      <c r="E34" s="102">
        <f>AA34*(Inputs_Summary!$E72/$Y52)</f>
        <v>756.07675598824017</v>
      </c>
      <c r="F34" s="102">
        <f>AB34*(Inputs_Summary!$E72/$Y52)</f>
        <v>2024.3136712665919</v>
      </c>
      <c r="G34" s="102">
        <f>AC34*(Inputs_Summary!$E72/$Y52)</f>
        <v>15799.124268819065</v>
      </c>
      <c r="H34" s="102">
        <f>AD34*(Inputs_Summary!$E72/$Y52)</f>
        <v>4022.2162852660199</v>
      </c>
      <c r="I34" s="102">
        <f>AE34*(Inputs_Summary!$E72/$Y52)</f>
        <v>827.66992563012559</v>
      </c>
      <c r="J34" s="102">
        <f>AF34*(Inputs_Summary!$E72/$Y52)</f>
        <v>2639.0862346009021</v>
      </c>
      <c r="K34" s="102">
        <f>AG34*(Inputs_Summary!$E72/$Y52)</f>
        <v>0</v>
      </c>
      <c r="L34" s="102">
        <f>AH34*(Inputs_Summary!$E72/$Y52)</f>
        <v>1583.7347303540462</v>
      </c>
      <c r="M34" s="102">
        <f>AI34*(Inputs_Summary!$E72/$Y52)</f>
        <v>0</v>
      </c>
      <c r="N34" s="102">
        <f>AJ34*(Inputs_Summary!$E72/$Y52)</f>
        <v>2994.3929759978951</v>
      </c>
      <c r="O34" s="102">
        <f>AK34*(Inputs_Summary!$E72/$Y52)</f>
        <v>0</v>
      </c>
      <c r="P34" s="56"/>
      <c r="Q34" s="39">
        <f>G34+N34</f>
        <v>18793.517244816961</v>
      </c>
      <c r="R34" s="5">
        <f>SUM(K34:L34)</f>
        <v>1583.7347303540462</v>
      </c>
      <c r="T34" s="5">
        <f>SUM(C34:O34)</f>
        <v>240199.29804183645</v>
      </c>
      <c r="X34" s="39"/>
      <c r="Y34" s="39">
        <v>194808.80434990322</v>
      </c>
      <c r="Z34" s="39">
        <v>14743.87884401034</v>
      </c>
      <c r="AA34" s="39">
        <v>756.07675598824017</v>
      </c>
      <c r="AB34" s="39">
        <v>2024.3136712665919</v>
      </c>
      <c r="AC34" s="39">
        <v>15799.124268819065</v>
      </c>
      <c r="AD34" s="39">
        <v>4022.2162852660199</v>
      </c>
      <c r="AE34" s="3">
        <v>827.66992563012559</v>
      </c>
      <c r="AF34" s="39">
        <v>2639.0862346009021</v>
      </c>
      <c r="AG34" s="3">
        <v>0</v>
      </c>
      <c r="AH34" s="39">
        <v>1583.7347303540462</v>
      </c>
      <c r="AI34" s="3">
        <v>0</v>
      </c>
      <c r="AJ34" s="39">
        <v>2994.3929759978951</v>
      </c>
    </row>
    <row r="35" spans="2:36" ht="15" x14ac:dyDescent="0.25">
      <c r="B35" s="3">
        <v>2030</v>
      </c>
      <c r="C35" s="102">
        <f>Y35*(Inputs_Summary!$E73/$Y53)</f>
        <v>132296.20969285403</v>
      </c>
      <c r="D35" s="102">
        <f>Z35*(Inputs_Summary!$E73/$Y53)</f>
        <v>14622.287805936157</v>
      </c>
      <c r="E35" s="102">
        <f>AA35*(Inputs_Summary!$E73/$Y53)</f>
        <v>2225.5742182305175</v>
      </c>
      <c r="F35" s="102">
        <f>AB35*(Inputs_Summary!$E73/$Y53)</f>
        <v>104.03692495853015</v>
      </c>
      <c r="G35" s="102">
        <f>AC35*(Inputs_Summary!$E73/$Y53)</f>
        <v>12951.577187484469</v>
      </c>
      <c r="H35" s="102">
        <f>AD35*(Inputs_Summary!$E73/$Y53)</f>
        <v>4186.976244654571</v>
      </c>
      <c r="I35" s="102">
        <f>AE35*(Inputs_Summary!$E73/$Y53)</f>
        <v>840.45515848851801</v>
      </c>
      <c r="J35" s="102">
        <f>AF35*(Inputs_Summary!$E73/$Y53)</f>
        <v>2623.362460719015</v>
      </c>
      <c r="K35" s="102">
        <f>AG35*(Inputs_Summary!$E73/$Y53)</f>
        <v>0</v>
      </c>
      <c r="L35" s="102">
        <f>AH35*(Inputs_Summary!$E73/$Y53)</f>
        <v>1573.8134824609022</v>
      </c>
      <c r="M35" s="102">
        <f>AI35*(Inputs_Summary!$E73/$Y53)</f>
        <v>0</v>
      </c>
      <c r="N35" s="102">
        <f>AJ35*(Inputs_Summary!$E73/$Y53)</f>
        <v>2256.1733138065556</v>
      </c>
      <c r="O35" s="102">
        <f>AK35*(Inputs_Summary!$E73/$Y53)</f>
        <v>0</v>
      </c>
      <c r="P35" s="56"/>
      <c r="Q35" s="39">
        <f>G35+N35</f>
        <v>15207.750501291024</v>
      </c>
      <c r="R35" s="5">
        <f>SUM(K35:L35)</f>
        <v>1573.8134824609022</v>
      </c>
      <c r="T35" s="5">
        <f>SUM(C35:O35)</f>
        <v>173680.46648959327</v>
      </c>
      <c r="Y35" s="39">
        <v>129706</v>
      </c>
      <c r="Z35" s="39">
        <v>14336</v>
      </c>
      <c r="AA35" s="39">
        <v>2182</v>
      </c>
      <c r="AB35" s="39">
        <v>102</v>
      </c>
      <c r="AC35" s="39">
        <v>12698</v>
      </c>
      <c r="AD35" s="39">
        <v>4105</v>
      </c>
      <c r="AE35" s="39">
        <v>824</v>
      </c>
      <c r="AF35" s="39">
        <v>2572</v>
      </c>
      <c r="AG35" s="39">
        <v>0</v>
      </c>
      <c r="AH35" s="39">
        <v>1543</v>
      </c>
      <c r="AI35" s="39">
        <v>0</v>
      </c>
      <c r="AJ35" s="39">
        <v>2212</v>
      </c>
    </row>
    <row r="36" spans="2:36" ht="15" x14ac:dyDescent="0.25">
      <c r="B36" s="3">
        <v>2040</v>
      </c>
      <c r="C36" s="102">
        <f>Y36*(Inputs_Summary!$E74/$Y54)</f>
        <v>43422.504757800794</v>
      </c>
      <c r="D36" s="102">
        <f>Z36*(Inputs_Summary!$E74/$Y54)</f>
        <v>14699.783178646809</v>
      </c>
      <c r="E36" s="102">
        <f>AA36*(Inputs_Summary!$E74/$Y54)</f>
        <v>2231.3784822348143</v>
      </c>
      <c r="F36" s="102">
        <f>AB36*(Inputs_Summary!$E74/$Y54)</f>
        <v>86.362983560843389</v>
      </c>
      <c r="G36" s="102">
        <f>AC36*(Inputs_Summary!$E74/$Y54)</f>
        <v>12876.118316478301</v>
      </c>
      <c r="H36" s="102">
        <f>AD36*(Inputs_Summary!$E74/$Y54)</f>
        <v>0</v>
      </c>
      <c r="I36" s="102">
        <f>AE36*(Inputs_Summary!$E74/$Y54)</f>
        <v>843.54542082684247</v>
      </c>
      <c r="J36" s="102">
        <f>AF36*(Inputs_Summary!$E74/$Y54)</f>
        <v>776.262631308511</v>
      </c>
      <c r="K36" s="102">
        <f>AG36*(Inputs_Summary!$E74/$Y54)</f>
        <v>0</v>
      </c>
      <c r="L36" s="102">
        <f>AH36*(Inputs_Summary!$E74/$Y54)</f>
        <v>1623.8249350916717</v>
      </c>
      <c r="M36" s="102">
        <f>AI36*(Inputs_Summary!$E74/$Y54)</f>
        <v>0</v>
      </c>
      <c r="N36" s="102">
        <f>AJ36*(Inputs_Summary!$E74/$Y54)</f>
        <v>2073.7158261993209</v>
      </c>
      <c r="O36" s="102">
        <f>AK36*(Inputs_Summary!$E74/$Y54)</f>
        <v>0</v>
      </c>
      <c r="P36" s="56"/>
      <c r="Q36" s="39">
        <f>G36+N36</f>
        <v>14949.834142677622</v>
      </c>
      <c r="R36" s="5">
        <f>SUM(K36:L36)</f>
        <v>1623.8249350916717</v>
      </c>
      <c r="T36" s="5">
        <f>SUM(C36:O36)</f>
        <v>78633.49653214791</v>
      </c>
      <c r="Y36" s="39">
        <v>43240</v>
      </c>
      <c r="Z36" s="39">
        <v>14638</v>
      </c>
      <c r="AA36" s="39">
        <v>2222</v>
      </c>
      <c r="AB36" s="39">
        <v>86</v>
      </c>
      <c r="AC36" s="39">
        <v>12822</v>
      </c>
      <c r="AD36" s="39">
        <v>0</v>
      </c>
      <c r="AE36" s="39">
        <v>840</v>
      </c>
      <c r="AF36" s="39">
        <v>773</v>
      </c>
      <c r="AG36" s="39">
        <v>0</v>
      </c>
      <c r="AH36" s="39">
        <v>1617</v>
      </c>
      <c r="AI36" s="39">
        <v>0</v>
      </c>
      <c r="AJ36" s="39">
        <v>2065</v>
      </c>
    </row>
    <row r="37" spans="2:36" ht="15" x14ac:dyDescent="0.25">
      <c r="B37" s="3">
        <v>2050</v>
      </c>
      <c r="C37" s="102">
        <f>Y37*(Inputs_Summary!$E75/$Y55)</f>
        <v>0</v>
      </c>
      <c r="D37" s="102">
        <f>Z37*(Inputs_Summary!$E75/$Y55)</f>
        <v>0</v>
      </c>
      <c r="E37" s="102">
        <f>AA37*(Inputs_Summary!$E75/$Y55)</f>
        <v>2217.4613706530063</v>
      </c>
      <c r="F37" s="102">
        <f>AB37*(Inputs_Summary!$E75/$Y55)</f>
        <v>0</v>
      </c>
      <c r="G37" s="102">
        <f>AC37*(Inputs_Summary!$E75/$Y55)</f>
        <v>12819.348731581424</v>
      </c>
      <c r="H37" s="102">
        <f>AD37*(Inputs_Summary!$E75/$Y55)</f>
        <v>0</v>
      </c>
      <c r="I37" s="102">
        <f>AE37*(Inputs_Summary!$E75/$Y55)</f>
        <v>0</v>
      </c>
      <c r="J37" s="102">
        <f>AF37*(Inputs_Summary!$E75/$Y55)</f>
        <v>0</v>
      </c>
      <c r="K37" s="102">
        <f>AG37*(Inputs_Summary!$E75/$Y55)</f>
        <v>0</v>
      </c>
      <c r="L37" s="102">
        <f>AH37*(Inputs_Summary!$E75/$Y55)</f>
        <v>1588.5530975628008</v>
      </c>
      <c r="M37" s="102">
        <f>AI37*(Inputs_Summary!$E75/$Y55)</f>
        <v>0</v>
      </c>
      <c r="N37" s="102">
        <f>AJ37*(Inputs_Summary!$E75/$Y55)</f>
        <v>2053.6195713528073</v>
      </c>
      <c r="O37" s="102">
        <f>AK37*(Inputs_Summary!$E75/$Y55)</f>
        <v>0</v>
      </c>
      <c r="P37" s="56"/>
      <c r="Q37" s="39">
        <f>G37+N37</f>
        <v>14872.96830293423</v>
      </c>
      <c r="R37" s="5">
        <f>SUM(K37:L37)</f>
        <v>1588.5530975628008</v>
      </c>
      <c r="T37" s="5">
        <f>SUM(C37:O37)</f>
        <v>18678.98277115004</v>
      </c>
      <c r="Y37" s="39">
        <v>0</v>
      </c>
      <c r="Z37" s="39">
        <v>0</v>
      </c>
      <c r="AA37" s="39">
        <v>2179</v>
      </c>
      <c r="AB37" s="39">
        <v>0</v>
      </c>
      <c r="AC37" s="39">
        <v>12597</v>
      </c>
      <c r="AD37" s="39">
        <v>0</v>
      </c>
      <c r="AE37" s="39">
        <v>0</v>
      </c>
      <c r="AF37" s="39">
        <v>0</v>
      </c>
      <c r="AG37" s="39">
        <v>0</v>
      </c>
      <c r="AH37" s="39">
        <v>1561</v>
      </c>
      <c r="AI37" s="39">
        <v>0</v>
      </c>
      <c r="AJ37" s="39">
        <v>2018</v>
      </c>
    </row>
    <row r="38" spans="2:36" ht="15" x14ac:dyDescent="0.25">
      <c r="Q38" s="5"/>
      <c r="R38" s="5"/>
      <c r="S38" s="5"/>
      <c r="X38" s="39"/>
      <c r="Z38" s="39"/>
      <c r="AA38" s="39"/>
      <c r="AB38" s="39"/>
    </row>
    <row r="39" spans="2:36" ht="30" x14ac:dyDescent="0.25">
      <c r="B39" s="43" t="s">
        <v>35</v>
      </c>
      <c r="C39" s="43" t="s">
        <v>0</v>
      </c>
      <c r="D39" s="43" t="s">
        <v>1</v>
      </c>
      <c r="E39" s="43" t="s">
        <v>28</v>
      </c>
      <c r="F39" s="2" t="s">
        <v>29</v>
      </c>
      <c r="G39" s="2" t="s">
        <v>6</v>
      </c>
      <c r="H39" s="43" t="s">
        <v>2</v>
      </c>
      <c r="I39" s="43" t="s">
        <v>3</v>
      </c>
      <c r="J39" s="43" t="s">
        <v>4</v>
      </c>
      <c r="K39" s="43" t="s">
        <v>9</v>
      </c>
      <c r="L39" s="43" t="s">
        <v>8</v>
      </c>
      <c r="M39" s="43" t="s">
        <v>25</v>
      </c>
      <c r="N39" s="43" t="s">
        <v>7</v>
      </c>
      <c r="O39" s="43" t="s">
        <v>89</v>
      </c>
      <c r="P39" s="25"/>
      <c r="Q39" s="43" t="s">
        <v>5</v>
      </c>
      <c r="R39" s="43" t="s">
        <v>91</v>
      </c>
      <c r="T39" s="43" t="s">
        <v>10</v>
      </c>
      <c r="X39" s="39"/>
      <c r="Z39" s="39"/>
    </row>
    <row r="40" spans="2:36" ht="15" x14ac:dyDescent="0.25">
      <c r="B40" s="3">
        <v>2016</v>
      </c>
      <c r="C40" s="44">
        <f>Y40*(Inputs_Summary!$E72/$Y52)</f>
        <v>5136.7169876182643</v>
      </c>
      <c r="D40" s="102">
        <f>Z40*(Inputs_Summary!$E72/$Y52)</f>
        <v>0</v>
      </c>
      <c r="E40" s="102">
        <f>AA40*(Inputs_Summary!$E72/$Y52)</f>
        <v>0</v>
      </c>
      <c r="F40" s="102">
        <f>AB40*(Inputs_Summary!$E72/$Y52)</f>
        <v>0</v>
      </c>
      <c r="G40" s="102">
        <f>AC40*(Inputs_Summary!$E72/$Y52)</f>
        <v>0</v>
      </c>
      <c r="H40" s="102">
        <f>AD40*(Inputs_Summary!$E72/$Y52)</f>
        <v>474.28890346943319</v>
      </c>
      <c r="I40" s="102">
        <f>AE40*(Inputs_Summary!$E72/$Y52)</f>
        <v>83.723084328086344</v>
      </c>
      <c r="J40" s="102">
        <f>AF40*(Inputs_Summary!$E72/$Y52)</f>
        <v>0</v>
      </c>
      <c r="K40" s="102">
        <f>AG40*(Inputs_Summary!$E72/$Y52)</f>
        <v>0</v>
      </c>
      <c r="L40" s="102">
        <f>AH40*(Inputs_Summary!$E72/$Y52)</f>
        <v>38.501168859598259</v>
      </c>
      <c r="M40" s="102">
        <f>AI40*(Inputs_Summary!$E72/$Y52)</f>
        <v>0</v>
      </c>
      <c r="N40" s="102">
        <f>AJ40*(Inputs_Summary!$E72/$Y52)</f>
        <v>0</v>
      </c>
      <c r="O40" s="102">
        <f>AK40*(Inputs_Summary!$E72/$Y52)</f>
        <v>0</v>
      </c>
      <c r="P40" s="56"/>
      <c r="Q40" s="39">
        <f>G40+N40</f>
        <v>0</v>
      </c>
      <c r="R40" s="5">
        <f>SUM(K40:L40)</f>
        <v>38.501168859598259</v>
      </c>
      <c r="T40" s="5">
        <f>SUM(C40:O40)</f>
        <v>5733.2301442753833</v>
      </c>
      <c r="X40" s="39"/>
      <c r="Y40" s="39">
        <v>5136.7169876182643</v>
      </c>
      <c r="Z40" s="39">
        <v>0</v>
      </c>
      <c r="AA40" s="39">
        <v>0</v>
      </c>
      <c r="AB40" s="39">
        <v>0</v>
      </c>
      <c r="AC40" s="3">
        <v>0</v>
      </c>
      <c r="AD40" s="3">
        <v>474.28890346943319</v>
      </c>
      <c r="AE40" s="3">
        <v>83.723084328086344</v>
      </c>
      <c r="AF40" s="3">
        <v>0</v>
      </c>
      <c r="AG40" s="3">
        <v>0</v>
      </c>
      <c r="AH40" s="3">
        <v>38.501168859598259</v>
      </c>
      <c r="AI40" s="3">
        <v>0</v>
      </c>
      <c r="AJ40" s="3">
        <v>0</v>
      </c>
    </row>
    <row r="41" spans="2:36" ht="15" x14ac:dyDescent="0.25">
      <c r="B41" s="3">
        <v>2030</v>
      </c>
      <c r="C41" s="102">
        <f>Y41*(Inputs_Summary!$E73/$Y53)</f>
        <v>70964.402490095439</v>
      </c>
      <c r="D41" s="102">
        <f>Z41*(Inputs_Summary!$E73/$Y53)</f>
        <v>0</v>
      </c>
      <c r="E41" s="102">
        <f>AA41*(Inputs_Summary!$E73/$Y53)</f>
        <v>0</v>
      </c>
      <c r="F41" s="102">
        <f>AB41*(Inputs_Summary!$E73/$Y53)</f>
        <v>0</v>
      </c>
      <c r="G41" s="102">
        <f>AC41*(Inputs_Summary!$E73/$Y53)</f>
        <v>194.81424183411036</v>
      </c>
      <c r="H41" s="102">
        <f>AD41*(Inputs_Summary!$E73/$Y53)</f>
        <v>8977.77464200963</v>
      </c>
      <c r="I41" s="102">
        <f>AE41*(Inputs_Summary!$E73/$Y53)</f>
        <v>4213.4954608204707</v>
      </c>
      <c r="J41" s="102">
        <f>AF41*(Inputs_Summary!$E73/$Y53)</f>
        <v>2363.2701483226897</v>
      </c>
      <c r="K41" s="102">
        <f>AG41*(Inputs_Summary!$E73/$Y53)</f>
        <v>354.94950868204404</v>
      </c>
      <c r="L41" s="102">
        <f>AH41*(Inputs_Summary!$E73/$Y53)</f>
        <v>1025.0697017972823</v>
      </c>
      <c r="M41" s="102">
        <f>AI41*(Inputs_Summary!$E73/$Y53)</f>
        <v>0</v>
      </c>
      <c r="N41" s="102">
        <f>AJ41*(Inputs_Summary!$E73/$Y53)</f>
        <v>2890.5945620830826</v>
      </c>
      <c r="O41" s="102">
        <f>AK41*(Inputs_Summary!$E73/$Y53)</f>
        <v>0</v>
      </c>
      <c r="P41" s="56"/>
      <c r="Q41" s="39">
        <f>G41+N41</f>
        <v>3085.4088039171929</v>
      </c>
      <c r="R41" s="5">
        <f>SUM(K41:L41)</f>
        <v>1380.0192104793264</v>
      </c>
      <c r="T41" s="5">
        <f>SUM(C41:O41)</f>
        <v>90984.370755644748</v>
      </c>
      <c r="Y41" s="39">
        <v>69575</v>
      </c>
      <c r="Z41" s="39">
        <v>0</v>
      </c>
      <c r="AA41" s="39">
        <v>0</v>
      </c>
      <c r="AB41" s="39">
        <v>0</v>
      </c>
      <c r="AC41" s="39">
        <v>191</v>
      </c>
      <c r="AD41" s="39">
        <v>8802</v>
      </c>
      <c r="AE41" s="39">
        <v>4131</v>
      </c>
      <c r="AF41" s="39">
        <v>2317</v>
      </c>
      <c r="AG41" s="3">
        <v>348</v>
      </c>
      <c r="AH41" s="39">
        <v>1005</v>
      </c>
      <c r="AI41" s="3">
        <v>0</v>
      </c>
      <c r="AJ41" s="39">
        <v>2834</v>
      </c>
    </row>
    <row r="42" spans="2:36" ht="15" x14ac:dyDescent="0.25">
      <c r="B42" s="3">
        <v>2040</v>
      </c>
      <c r="C42" s="102">
        <f>Y42*(Inputs_Summary!$E74/$Y54)</f>
        <v>74061.279507118612</v>
      </c>
      <c r="D42" s="102">
        <f>Z42*(Inputs_Summary!$E74/$Y54)</f>
        <v>0</v>
      </c>
      <c r="E42" s="102">
        <f>AA42*(Inputs_Summary!$E74/$Y54)</f>
        <v>0</v>
      </c>
      <c r="F42" s="102">
        <f>AB42*(Inputs_Summary!$E74/$Y54)</f>
        <v>0</v>
      </c>
      <c r="G42" s="102">
        <f>AC42*(Inputs_Summary!$E74/$Y54)</f>
        <v>195.82304412051698</v>
      </c>
      <c r="H42" s="102">
        <f>AD42*(Inputs_Summary!$E74/$Y54)</f>
        <v>0</v>
      </c>
      <c r="I42" s="102">
        <f>AE42*(Inputs_Summary!$E74/$Y54)</f>
        <v>4221.74398709053</v>
      </c>
      <c r="J42" s="102">
        <f>AF42*(Inputs_Summary!$E74/$Y54)</f>
        <v>2376.9904894013525</v>
      </c>
      <c r="K42" s="102">
        <f>AG42*(Inputs_Summary!$E74/$Y54)</f>
        <v>356.49836237324888</v>
      </c>
      <c r="L42" s="102">
        <f>AH42*(Inputs_Summary!$E74/$Y54)</f>
        <v>1030.3304782956432</v>
      </c>
      <c r="M42" s="102">
        <f>AI42*(Inputs_Summary!$E74/$Y54)</f>
        <v>0</v>
      </c>
      <c r="N42" s="102">
        <f>AJ42*(Inputs_Summary!$E74/$Y54)</f>
        <v>2607.9612593896545</v>
      </c>
      <c r="O42" s="102">
        <f>AK42*(Inputs_Summary!$E74/$Y54)</f>
        <v>0</v>
      </c>
      <c r="P42" s="56"/>
      <c r="Q42" s="39">
        <f>G42+N42</f>
        <v>2803.7843035101714</v>
      </c>
      <c r="R42" s="5">
        <f>SUM(K42:L42)</f>
        <v>1386.8288406688921</v>
      </c>
      <c r="T42" s="5">
        <f>SUM(C42:O42)</f>
        <v>84850.627127789587</v>
      </c>
      <c r="Y42" s="39">
        <v>73750</v>
      </c>
      <c r="Z42" s="39">
        <v>0</v>
      </c>
      <c r="AA42" s="3">
        <v>0</v>
      </c>
      <c r="AB42" s="39">
        <v>0</v>
      </c>
      <c r="AC42" s="39">
        <v>195</v>
      </c>
      <c r="AD42" s="39">
        <v>0</v>
      </c>
      <c r="AE42" s="39">
        <v>4204</v>
      </c>
      <c r="AF42" s="39">
        <v>2367</v>
      </c>
      <c r="AG42" s="3">
        <v>355</v>
      </c>
      <c r="AH42" s="39">
        <v>1026</v>
      </c>
      <c r="AI42" s="3">
        <v>0</v>
      </c>
      <c r="AJ42" s="39">
        <v>2597</v>
      </c>
    </row>
    <row r="43" spans="2:36" ht="15" x14ac:dyDescent="0.25">
      <c r="B43" s="3">
        <v>2050</v>
      </c>
      <c r="C43" s="102">
        <f>Y43*(Inputs_Summary!$E75/$Y55)</f>
        <v>72028.314985520483</v>
      </c>
      <c r="D43" s="102">
        <f>Z43*(Inputs_Summary!$E75/$Y55)</f>
        <v>0</v>
      </c>
      <c r="E43" s="102">
        <f>AA43*(Inputs_Summary!$E75/$Y55)</f>
        <v>0</v>
      </c>
      <c r="F43" s="102">
        <f>AB43*(Inputs_Summary!$E75/$Y55)</f>
        <v>0</v>
      </c>
      <c r="G43" s="102">
        <f>AC43*(Inputs_Summary!$E75/$Y55)</f>
        <v>193.35367619278165</v>
      </c>
      <c r="H43" s="102">
        <f>AD43*(Inputs_Summary!$E75/$Y55)</f>
        <v>0</v>
      </c>
      <c r="I43" s="102">
        <f>AE43*(Inputs_Summary!$E75/$Y55)</f>
        <v>0</v>
      </c>
      <c r="J43" s="102">
        <f>AF43*(Inputs_Summary!$E75/$Y55)</f>
        <v>0</v>
      </c>
      <c r="K43" s="102">
        <f>AG43*(Inputs_Summary!$E75/$Y55)</f>
        <v>0</v>
      </c>
      <c r="L43" s="102">
        <f>AH43*(Inputs_Summary!$E75/$Y55)</f>
        <v>0</v>
      </c>
      <c r="M43" s="102">
        <f>AI43*(Inputs_Summary!$E75/$Y55)</f>
        <v>0</v>
      </c>
      <c r="N43" s="102">
        <f>AJ43*(Inputs_Summary!$E75/$Y55)</f>
        <v>2702.8808629896212</v>
      </c>
      <c r="O43" s="102">
        <f>AK43*(Inputs_Summary!$E75/$Y55)</f>
        <v>0</v>
      </c>
      <c r="P43" s="56"/>
      <c r="Q43" s="39">
        <f>G43+N43</f>
        <v>2896.2345391824028</v>
      </c>
      <c r="R43" s="5">
        <f>SUM(K43:L43)</f>
        <v>0</v>
      </c>
      <c r="T43" s="5">
        <f>SUM(C43:O43)</f>
        <v>74924.549524702888</v>
      </c>
      <c r="X43" s="39"/>
      <c r="Y43" s="39">
        <v>70779</v>
      </c>
      <c r="Z43" s="39">
        <v>0</v>
      </c>
      <c r="AA43" s="3">
        <v>0</v>
      </c>
      <c r="AB43" s="3">
        <v>0</v>
      </c>
      <c r="AC43" s="39">
        <v>190</v>
      </c>
      <c r="AD43" s="39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9">
        <v>2656</v>
      </c>
    </row>
    <row r="44" spans="2:36" ht="15" x14ac:dyDescent="0.25">
      <c r="Q44" s="5"/>
      <c r="R44" s="5"/>
      <c r="S44" s="5"/>
      <c r="X44" s="39"/>
      <c r="Z44" s="39"/>
      <c r="AA44" s="39"/>
      <c r="AB44" s="39"/>
    </row>
    <row r="45" spans="2:36" ht="30" x14ac:dyDescent="0.25">
      <c r="B45" s="43" t="s">
        <v>36</v>
      </c>
      <c r="C45" s="43" t="s">
        <v>0</v>
      </c>
      <c r="D45" s="43" t="s">
        <v>1</v>
      </c>
      <c r="E45" s="43" t="s">
        <v>28</v>
      </c>
      <c r="F45" s="2" t="s">
        <v>29</v>
      </c>
      <c r="G45" s="2" t="s">
        <v>6</v>
      </c>
      <c r="H45" s="43" t="s">
        <v>2</v>
      </c>
      <c r="I45" s="43" t="s">
        <v>3</v>
      </c>
      <c r="J45" s="43" t="s">
        <v>4</v>
      </c>
      <c r="K45" s="43" t="s">
        <v>9</v>
      </c>
      <c r="L45" s="43" t="s">
        <v>8</v>
      </c>
      <c r="M45" s="43" t="s">
        <v>25</v>
      </c>
      <c r="N45" s="43" t="s">
        <v>7</v>
      </c>
      <c r="O45" s="43" t="s">
        <v>89</v>
      </c>
      <c r="P45" s="25"/>
      <c r="Q45" s="43" t="s">
        <v>5</v>
      </c>
      <c r="R45" s="43" t="s">
        <v>91</v>
      </c>
      <c r="T45" s="43" t="s">
        <v>10</v>
      </c>
      <c r="X45" s="39"/>
      <c r="Z45" s="39"/>
      <c r="AB45" s="39"/>
      <c r="AC45" s="39"/>
      <c r="AD45" s="39"/>
    </row>
    <row r="46" spans="2:36" ht="15" x14ac:dyDescent="0.25">
      <c r="B46" s="3">
        <v>2016</v>
      </c>
      <c r="C46" s="44">
        <f>Y46*(Inputs_Summary!$E72/$Y52)</f>
        <v>0</v>
      </c>
      <c r="D46" s="102">
        <f>Z46*(Inputs_Summary!$E72/$Y52)</f>
        <v>0</v>
      </c>
      <c r="E46" s="102">
        <f>AA46*(Inputs_Summary!$E72/$Y52)</f>
        <v>0</v>
      </c>
      <c r="F46" s="102">
        <f>AB46*(Inputs_Summary!$E72/$Y52)</f>
        <v>0</v>
      </c>
      <c r="G46" s="102">
        <f>AC46*(Inputs_Summary!$E72/$Y52)</f>
        <v>0</v>
      </c>
      <c r="H46" s="102">
        <f>AD46*(Inputs_Summary!$E72/$Y52)</f>
        <v>0</v>
      </c>
      <c r="I46" s="102">
        <f>AE46*(Inputs_Summary!$E72/$Y52)</f>
        <v>0</v>
      </c>
      <c r="J46" s="102">
        <f>AF46*(Inputs_Summary!$E72/$Y52)</f>
        <v>0</v>
      </c>
      <c r="K46" s="102">
        <f>AG46*(Inputs_Summary!$E72/$Y52)</f>
        <v>0</v>
      </c>
      <c r="L46" s="102">
        <f>AH46*(Inputs_Summary!$E72/$Y52)</f>
        <v>0</v>
      </c>
      <c r="M46" s="102">
        <f>AI46*(Inputs_Summary!$E72/$Y52)</f>
        <v>0</v>
      </c>
      <c r="N46" s="102">
        <f>AJ46*(Inputs_Summary!$E72/$Y52)</f>
        <v>0</v>
      </c>
      <c r="O46" s="102">
        <f>AK46*(Inputs_Summary!$E72/$Y52)</f>
        <v>0</v>
      </c>
      <c r="P46" s="56"/>
      <c r="Q46" s="39">
        <f>G46+N46</f>
        <v>0</v>
      </c>
      <c r="R46" s="5">
        <f>SUM(K46:L46)</f>
        <v>0</v>
      </c>
      <c r="T46" s="5">
        <f>SUM(C46:O46)</f>
        <v>0</v>
      </c>
      <c r="X46" s="39"/>
      <c r="Y46" s="39">
        <v>0</v>
      </c>
      <c r="Z46" s="39">
        <v>0</v>
      </c>
      <c r="AA46" s="39">
        <v>0</v>
      </c>
      <c r="AB46" s="3">
        <v>0</v>
      </c>
      <c r="AC46" s="39">
        <v>0</v>
      </c>
      <c r="AD46" s="39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</row>
    <row r="47" spans="2:36" ht="15" x14ac:dyDescent="0.25">
      <c r="B47" s="3">
        <v>2030</v>
      </c>
      <c r="C47" s="102">
        <f>Y47*(Inputs_Summary!$E73/$Y53)</f>
        <v>33516.209354287261</v>
      </c>
      <c r="D47" s="102">
        <f>Z47*(Inputs_Summary!$E73/$Y53)</f>
        <v>0</v>
      </c>
      <c r="E47" s="102">
        <f>AA47*(Inputs_Summary!$E73/$Y53)</f>
        <v>13615.577561484499</v>
      </c>
      <c r="F47" s="102">
        <f>AB47*(Inputs_Summary!$E73/$Y53)</f>
        <v>543.64393140094671</v>
      </c>
      <c r="G47" s="102">
        <f>AC47*(Inputs_Summary!$E73/$Y53)</f>
        <v>5283.443836129276</v>
      </c>
      <c r="H47" s="102">
        <f>AD47*(Inputs_Summary!$E73/$Y53)</f>
        <v>22443.416635171543</v>
      </c>
      <c r="I47" s="102">
        <f>AE47*(Inputs_Summary!$E73/$Y53)</f>
        <v>0</v>
      </c>
      <c r="J47" s="102">
        <f>AF47*(Inputs_Summary!$E73/$Y53)</f>
        <v>8301.5346297791839</v>
      </c>
      <c r="K47" s="102">
        <f>AG47*(Inputs_Summary!$E73/$Y53)</f>
        <v>1729.8688698986973</v>
      </c>
      <c r="L47" s="102">
        <f>AH47*(Inputs_Summary!$E73/$Y53)</f>
        <v>0</v>
      </c>
      <c r="M47" s="102">
        <f>AI47*(Inputs_Summary!$E73/$Y53)</f>
        <v>123.41635215668772</v>
      </c>
      <c r="N47" s="102">
        <f>AJ47*(Inputs_Summary!$E73/$Y53)</f>
        <v>0</v>
      </c>
      <c r="O47" s="102">
        <f>AK47*(Inputs_Summary!$E73/$Y53)</f>
        <v>0</v>
      </c>
      <c r="P47" s="56"/>
      <c r="Q47" s="39">
        <f>G47+N47</f>
        <v>5283.443836129276</v>
      </c>
      <c r="R47" s="5">
        <f>SUM(K47:L47)</f>
        <v>1729.8688698986973</v>
      </c>
      <c r="T47" s="5">
        <f>SUM(C47:O47)</f>
        <v>85557.111170308082</v>
      </c>
      <c r="Y47" s="39">
        <v>32860</v>
      </c>
      <c r="Z47" s="39">
        <v>0</v>
      </c>
      <c r="AA47" s="39">
        <v>13349</v>
      </c>
      <c r="AB47" s="39">
        <v>533</v>
      </c>
      <c r="AC47" s="39">
        <v>5180</v>
      </c>
      <c r="AD47" s="39">
        <v>22004</v>
      </c>
      <c r="AE47" s="39">
        <v>0</v>
      </c>
      <c r="AF47" s="39">
        <v>8139</v>
      </c>
      <c r="AG47" s="39">
        <v>1696</v>
      </c>
      <c r="AH47" s="39">
        <v>0</v>
      </c>
      <c r="AI47" s="39">
        <v>121</v>
      </c>
      <c r="AJ47" s="39">
        <v>0</v>
      </c>
    </row>
    <row r="48" spans="2:36" ht="15" x14ac:dyDescent="0.25">
      <c r="B48" s="3">
        <v>2040</v>
      </c>
      <c r="C48" s="102">
        <f>Y48*(Inputs_Summary!$E74/$Y54)</f>
        <v>105057.55683954875</v>
      </c>
      <c r="D48" s="102">
        <f>Z48*(Inputs_Summary!$E74/$Y54)</f>
        <v>20082.406340113328</v>
      </c>
      <c r="E48" s="102">
        <f>AA48*(Inputs_Summary!$E74/$Y54)</f>
        <v>43143.331392336673</v>
      </c>
      <c r="F48" s="102">
        <f>AB48*(Inputs_Summary!$E74/$Y54)</f>
        <v>883.71425039002543</v>
      </c>
      <c r="G48" s="102">
        <f>AC48*(Inputs_Summary!$E74/$Y54)</f>
        <v>15401.733475263431</v>
      </c>
      <c r="H48" s="102">
        <f>AD48*(Inputs_Summary!$E74/$Y54)</f>
        <v>65645.909713631772</v>
      </c>
      <c r="I48" s="102">
        <f>AE48*(Inputs_Summary!$E74/$Y54)</f>
        <v>0</v>
      </c>
      <c r="J48" s="102">
        <f>AF48*(Inputs_Summary!$E74/$Y54)</f>
        <v>18955.670670866046</v>
      </c>
      <c r="K48" s="102">
        <f>AG48*(Inputs_Summary!$E74/$Y54)</f>
        <v>1737.3018786076636</v>
      </c>
      <c r="L48" s="102">
        <f>AH48*(Inputs_Summary!$E74/$Y54)</f>
        <v>0</v>
      </c>
      <c r="M48" s="102">
        <f>AI48*(Inputs_Summary!$E74/$Y54)</f>
        <v>123.51915090678764</v>
      </c>
      <c r="N48" s="102">
        <f>AJ48*(Inputs_Summary!$E74/$Y54)</f>
        <v>0</v>
      </c>
      <c r="O48" s="102">
        <f>AK48*(Inputs_Summary!$E74/$Y54)</f>
        <v>0</v>
      </c>
      <c r="P48" s="56"/>
      <c r="Q48" s="39">
        <f>G48+N48</f>
        <v>15401.733475263431</v>
      </c>
      <c r="R48" s="5">
        <f>SUM(K48:L48)</f>
        <v>1737.3018786076636</v>
      </c>
      <c r="T48" s="5">
        <f>SUM(C48:O48)</f>
        <v>271031.14371166448</v>
      </c>
      <c r="Y48" s="39">
        <v>104616</v>
      </c>
      <c r="Z48" s="39">
        <v>19998</v>
      </c>
      <c r="AA48" s="39">
        <v>42962</v>
      </c>
      <c r="AB48" s="39">
        <v>880</v>
      </c>
      <c r="AC48" s="39">
        <v>15337</v>
      </c>
      <c r="AD48" s="39">
        <v>65370</v>
      </c>
      <c r="AE48" s="39">
        <v>0</v>
      </c>
      <c r="AF48" s="39">
        <v>18876</v>
      </c>
      <c r="AG48" s="39">
        <v>1730</v>
      </c>
      <c r="AH48" s="39">
        <v>0</v>
      </c>
      <c r="AI48" s="39">
        <v>123</v>
      </c>
      <c r="AJ48" s="39">
        <v>0</v>
      </c>
    </row>
    <row r="49" spans="1:36" ht="15" x14ac:dyDescent="0.25">
      <c r="B49" s="3">
        <v>2050</v>
      </c>
      <c r="C49" s="102">
        <f>Y49*(Inputs_Summary!$E75/$Y55)</f>
        <v>100589.70591197633</v>
      </c>
      <c r="D49" s="102">
        <f>Z49*(Inputs_Summary!$E75/$Y55)</f>
        <v>147889.10336336738</v>
      </c>
      <c r="E49" s="102">
        <f>AA49*(Inputs_Summary!$E75/$Y55)</f>
        <v>46966.625598153994</v>
      </c>
      <c r="F49" s="102">
        <f>AB49*(Inputs_Summary!$E75/$Y55)</f>
        <v>843.63261875692626</v>
      </c>
      <c r="G49" s="102">
        <f>AC49*(Inputs_Summary!$E75/$Y55)</f>
        <v>14935.045009501386</v>
      </c>
      <c r="H49" s="102">
        <f>AD49*(Inputs_Summary!$E75/$Y55)</f>
        <v>93093.689181260386</v>
      </c>
      <c r="I49" s="102">
        <f>AE49*(Inputs_Summary!$E75/$Y55)</f>
        <v>0</v>
      </c>
      <c r="J49" s="102">
        <f>AF49*(Inputs_Summary!$E75/$Y55)</f>
        <v>28041.371302589992</v>
      </c>
      <c r="K49" s="102">
        <f>AG49*(Inputs_Summary!$E75/$Y55)</f>
        <v>1730.0065764617304</v>
      </c>
      <c r="L49" s="102">
        <f>AH49*(Inputs_Summary!$E75/$Y55)</f>
        <v>0</v>
      </c>
      <c r="M49" s="102">
        <f>AI49*(Inputs_Summary!$E75/$Y55)</f>
        <v>58.006102857834492</v>
      </c>
      <c r="N49" s="102">
        <f>AJ49*(Inputs_Summary!$E75/$Y55)</f>
        <v>0</v>
      </c>
      <c r="O49" s="102">
        <f>AK49*(Inputs_Summary!$E75/$Y55)</f>
        <v>0</v>
      </c>
      <c r="P49" s="56"/>
      <c r="Q49" s="39">
        <f>G49+N49</f>
        <v>14935.045009501386</v>
      </c>
      <c r="R49" s="5">
        <f>SUM(K49:L49)</f>
        <v>1730.0065764617304</v>
      </c>
      <c r="T49" s="5">
        <f>SUM(C49:O49)</f>
        <v>434147.1856649259</v>
      </c>
      <c r="Y49" s="39">
        <v>98845</v>
      </c>
      <c r="Z49" s="39">
        <v>145324</v>
      </c>
      <c r="AA49" s="39">
        <v>46152</v>
      </c>
      <c r="AB49" s="39">
        <v>829</v>
      </c>
      <c r="AC49" s="39">
        <v>14676</v>
      </c>
      <c r="AD49" s="39">
        <v>91479</v>
      </c>
      <c r="AE49" s="39">
        <v>0</v>
      </c>
      <c r="AF49" s="39">
        <v>27555</v>
      </c>
      <c r="AG49" s="39">
        <v>1700</v>
      </c>
      <c r="AH49" s="39">
        <v>0</v>
      </c>
      <c r="AI49" s="39">
        <v>57</v>
      </c>
      <c r="AJ49" s="39">
        <v>0</v>
      </c>
    </row>
    <row r="50" spans="1:36" ht="15" x14ac:dyDescent="0.25"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1:36" ht="30" x14ac:dyDescent="0.25">
      <c r="B51" s="1" t="s">
        <v>13</v>
      </c>
      <c r="C51" s="43" t="s">
        <v>0</v>
      </c>
      <c r="D51" s="43" t="s">
        <v>1</v>
      </c>
      <c r="E51" s="43" t="s">
        <v>28</v>
      </c>
      <c r="F51" s="2" t="s">
        <v>29</v>
      </c>
      <c r="G51" s="2" t="s">
        <v>6</v>
      </c>
      <c r="H51" s="43" t="s">
        <v>2</v>
      </c>
      <c r="I51" s="43" t="s">
        <v>3</v>
      </c>
      <c r="J51" s="43" t="s">
        <v>4</v>
      </c>
      <c r="K51" s="43" t="s">
        <v>9</v>
      </c>
      <c r="L51" s="43" t="s">
        <v>8</v>
      </c>
      <c r="M51" s="43" t="s">
        <v>25</v>
      </c>
      <c r="N51" s="43" t="s">
        <v>7</v>
      </c>
      <c r="O51" s="43" t="s">
        <v>89</v>
      </c>
      <c r="P51" s="25"/>
      <c r="Q51" s="43" t="s">
        <v>5</v>
      </c>
      <c r="R51" s="43" t="s">
        <v>91</v>
      </c>
      <c r="T51" s="43" t="s">
        <v>10</v>
      </c>
      <c r="U51" s="22"/>
      <c r="V51" s="43"/>
      <c r="W51" s="30" t="s">
        <v>16</v>
      </c>
      <c r="X51" s="30" t="s">
        <v>15</v>
      </c>
    </row>
    <row r="52" spans="1:36" ht="15" x14ac:dyDescent="0.25">
      <c r="A52" s="15">
        <f>C52-C46</f>
        <v>199945.5213375215</v>
      </c>
      <c r="B52" s="3">
        <v>2016</v>
      </c>
      <c r="C52" s="50">
        <f t="shared" ref="C52:O52" si="9">C34+C40+C46</f>
        <v>199945.5213375215</v>
      </c>
      <c r="D52" s="50">
        <f t="shared" si="9"/>
        <v>14743.87884401034</v>
      </c>
      <c r="E52" s="50">
        <f t="shared" si="9"/>
        <v>756.07675598824017</v>
      </c>
      <c r="F52" s="50">
        <f t="shared" si="9"/>
        <v>2024.3136712665919</v>
      </c>
      <c r="G52" s="50">
        <f t="shared" si="9"/>
        <v>15799.124268819065</v>
      </c>
      <c r="H52" s="50">
        <f t="shared" si="9"/>
        <v>4496.505188735453</v>
      </c>
      <c r="I52" s="50">
        <f t="shared" si="9"/>
        <v>911.39300995821191</v>
      </c>
      <c r="J52" s="50">
        <f t="shared" si="9"/>
        <v>2639.0862346009021</v>
      </c>
      <c r="K52" s="50">
        <f t="shared" si="9"/>
        <v>0</v>
      </c>
      <c r="L52" s="50">
        <f t="shared" si="9"/>
        <v>1622.2358992136444</v>
      </c>
      <c r="M52" s="50">
        <f t="shared" si="9"/>
        <v>0</v>
      </c>
      <c r="N52" s="50">
        <f t="shared" si="9"/>
        <v>2994.3929759978951</v>
      </c>
      <c r="O52" s="50">
        <f t="shared" si="9"/>
        <v>0</v>
      </c>
      <c r="P52" s="56"/>
      <c r="Q52" s="39">
        <f>G52+N52</f>
        <v>18793.517244816961</v>
      </c>
      <c r="R52" s="5">
        <f>SUM(K52:L52)</f>
        <v>1622.2358992136444</v>
      </c>
      <c r="T52" s="5">
        <f>SUM(C52:O52)</f>
        <v>245932.52818611186</v>
      </c>
      <c r="W52" s="18">
        <f>SUM(G52:L52)</f>
        <v>25468.344601327273</v>
      </c>
      <c r="X52" s="23">
        <f>W52/Inputs_Summary!E72</f>
        <v>0.10520327238276848</v>
      </c>
      <c r="Y52" s="39">
        <v>242087</v>
      </c>
    </row>
    <row r="53" spans="1:36" ht="15" x14ac:dyDescent="0.25">
      <c r="A53" s="15">
        <f>C53-C47</f>
        <v>203260.6121829495</v>
      </c>
      <c r="B53" s="3">
        <v>2030</v>
      </c>
      <c r="C53" s="50">
        <f t="shared" ref="C53:O53" si="10">C35+C41+C47</f>
        <v>236776.82153723674</v>
      </c>
      <c r="D53" s="50">
        <f t="shared" si="10"/>
        <v>14622.287805936157</v>
      </c>
      <c r="E53" s="50">
        <f t="shared" si="10"/>
        <v>15841.151779715015</v>
      </c>
      <c r="F53" s="50">
        <f t="shared" si="10"/>
        <v>647.68085635947682</v>
      </c>
      <c r="G53" s="50">
        <f t="shared" si="10"/>
        <v>18429.835265447855</v>
      </c>
      <c r="H53" s="50">
        <f t="shared" si="10"/>
        <v>35608.167521835741</v>
      </c>
      <c r="I53" s="50">
        <f t="shared" si="10"/>
        <v>5053.9506193089892</v>
      </c>
      <c r="J53" s="50">
        <f t="shared" si="10"/>
        <v>13288.167238820888</v>
      </c>
      <c r="K53" s="50">
        <f t="shared" si="10"/>
        <v>2084.8183785807414</v>
      </c>
      <c r="L53" s="50">
        <f t="shared" si="10"/>
        <v>2598.8831842581844</v>
      </c>
      <c r="M53" s="50">
        <f t="shared" si="10"/>
        <v>123.41635215668772</v>
      </c>
      <c r="N53" s="50">
        <f t="shared" si="10"/>
        <v>5146.7678758896382</v>
      </c>
      <c r="O53" s="50">
        <f t="shared" si="10"/>
        <v>0</v>
      </c>
      <c r="P53" s="56"/>
      <c r="Q53" s="39">
        <f>G53+N53</f>
        <v>23576.603141337495</v>
      </c>
      <c r="R53" s="5">
        <f>SUM(K53:L53)</f>
        <v>4683.7015628389254</v>
      </c>
      <c r="T53" s="5">
        <f>SUM(C53:O53)</f>
        <v>350221.9484155461</v>
      </c>
      <c r="W53" s="18">
        <f>SUM(G53:L53)</f>
        <v>77063.822208252386</v>
      </c>
      <c r="X53" s="23">
        <f>W53/Inputs_Summary!E73</f>
        <v>0.22433054134816488</v>
      </c>
      <c r="Y53" s="39">
        <v>336802.1115</v>
      </c>
      <c r="AA53" s="39"/>
    </row>
    <row r="54" spans="1:36" ht="15" x14ac:dyDescent="0.25">
      <c r="A54" s="15">
        <f>C54-C48</f>
        <v>117483.78426491941</v>
      </c>
      <c r="B54" s="3">
        <v>2040</v>
      </c>
      <c r="C54" s="50">
        <f t="shared" ref="C54:O54" si="11">C36+C42+C48</f>
        <v>222541.34110446816</v>
      </c>
      <c r="D54" s="50">
        <f t="shared" si="11"/>
        <v>34782.189518760133</v>
      </c>
      <c r="E54" s="50">
        <f t="shared" si="11"/>
        <v>45374.70987457149</v>
      </c>
      <c r="F54" s="50">
        <f t="shared" si="11"/>
        <v>970.07723395086884</v>
      </c>
      <c r="G54" s="50">
        <f t="shared" si="11"/>
        <v>28473.67483586225</v>
      </c>
      <c r="H54" s="50">
        <f t="shared" si="11"/>
        <v>65645.909713631772</v>
      </c>
      <c r="I54" s="50">
        <f t="shared" si="11"/>
        <v>5065.289407917373</v>
      </c>
      <c r="J54" s="50">
        <f t="shared" si="11"/>
        <v>22108.923791575908</v>
      </c>
      <c r="K54" s="50">
        <f t="shared" si="11"/>
        <v>2093.8002409809123</v>
      </c>
      <c r="L54" s="50">
        <f t="shared" si="11"/>
        <v>2654.1554133873151</v>
      </c>
      <c r="M54" s="50">
        <f t="shared" si="11"/>
        <v>123.51915090678764</v>
      </c>
      <c r="N54" s="50">
        <f t="shared" si="11"/>
        <v>4681.6770855889754</v>
      </c>
      <c r="O54" s="50">
        <f t="shared" si="11"/>
        <v>0</v>
      </c>
      <c r="P54" s="56"/>
      <c r="Q54" s="39">
        <f>G54+N54</f>
        <v>33155.351921451227</v>
      </c>
      <c r="R54" s="5">
        <f>SUM(K54:L54)</f>
        <v>4747.9556543682274</v>
      </c>
      <c r="T54" s="5">
        <f>SUM(C54:O54)</f>
        <v>434515.26737160189</v>
      </c>
      <c r="W54" s="18">
        <f>SUM(G54:L54)</f>
        <v>126041.75340335553</v>
      </c>
      <c r="X54" s="23">
        <f>W54/Inputs_Summary!E74</f>
        <v>0.2941938221168765</v>
      </c>
      <c r="Y54" s="39">
        <v>426630.30479999998</v>
      </c>
      <c r="AB54" s="39"/>
      <c r="AD54" s="39"/>
    </row>
    <row r="55" spans="1:36" ht="15" x14ac:dyDescent="0.25">
      <c r="A55" s="15">
        <f>C55-C49</f>
        <v>72028.314985520483</v>
      </c>
      <c r="B55" s="3">
        <v>2050</v>
      </c>
      <c r="C55" s="50">
        <f t="shared" ref="C55:O55" si="12">C37+C43+C49</f>
        <v>172618.02089749681</v>
      </c>
      <c r="D55" s="50">
        <f t="shared" si="12"/>
        <v>147889.10336336738</v>
      </c>
      <c r="E55" s="50">
        <f t="shared" si="12"/>
        <v>49184.086968807002</v>
      </c>
      <c r="F55" s="50">
        <f t="shared" si="12"/>
        <v>843.63261875692626</v>
      </c>
      <c r="G55" s="50">
        <f t="shared" si="12"/>
        <v>27947.74741727559</v>
      </c>
      <c r="H55" s="50">
        <f t="shared" si="12"/>
        <v>93093.689181260386</v>
      </c>
      <c r="I55" s="50">
        <f t="shared" si="12"/>
        <v>0</v>
      </c>
      <c r="J55" s="50">
        <f t="shared" si="12"/>
        <v>28041.371302589992</v>
      </c>
      <c r="K55" s="50">
        <f t="shared" si="12"/>
        <v>1730.0065764617304</v>
      </c>
      <c r="L55" s="50">
        <f t="shared" si="12"/>
        <v>1588.5530975628008</v>
      </c>
      <c r="M55" s="50">
        <f t="shared" si="12"/>
        <v>58.006102857834492</v>
      </c>
      <c r="N55" s="50">
        <f t="shared" si="12"/>
        <v>4756.500434342428</v>
      </c>
      <c r="O55" s="50">
        <f t="shared" si="12"/>
        <v>0</v>
      </c>
      <c r="P55" s="56"/>
      <c r="Q55" s="39">
        <f>G55+N55</f>
        <v>32704.24785161802</v>
      </c>
      <c r="R55" s="5">
        <f>SUM(K55:L55)</f>
        <v>3318.559674024531</v>
      </c>
      <c r="T55" s="5">
        <f>SUM(C55:O55)</f>
        <v>527750.71796077886</v>
      </c>
      <c r="W55" s="18">
        <f>SUM(G55:L55)</f>
        <v>152401.36757515051</v>
      </c>
      <c r="X55" s="23">
        <f>W55/Inputs_Summary!E75</f>
        <v>0.29220350444561499</v>
      </c>
      <c r="Y55" s="39">
        <v>512512.67599999998</v>
      </c>
    </row>
    <row r="56" spans="1:36" ht="15" x14ac:dyDescent="0.25">
      <c r="V56" s="42"/>
      <c r="W56" s="7"/>
    </row>
    <row r="57" spans="1:36" ht="15" x14ac:dyDescent="0.25">
      <c r="B57" s="3">
        <v>2016</v>
      </c>
      <c r="C57" s="23">
        <f t="shared" ref="C57:O57" si="13">IFERROR(C52/$T52,0)</f>
        <v>0.81300966087011783</v>
      </c>
      <c r="D57" s="23">
        <f t="shared" si="13"/>
        <v>5.9950909921329176E-2</v>
      </c>
      <c r="E57" s="23">
        <f t="shared" si="13"/>
        <v>3.074325960720705E-3</v>
      </c>
      <c r="F57" s="23">
        <f t="shared" si="13"/>
        <v>8.2311749738719908E-3</v>
      </c>
      <c r="G57" s="23">
        <f t="shared" si="13"/>
        <v>6.4241702329278394E-2</v>
      </c>
      <c r="H57" s="23">
        <f t="shared" si="13"/>
        <v>1.8283491093673783E-2</v>
      </c>
      <c r="I57" s="23">
        <f t="shared" si="13"/>
        <v>3.7058660628597542E-3</v>
      </c>
      <c r="J57" s="23">
        <f t="shared" si="13"/>
        <v>1.0730936058217349E-2</v>
      </c>
      <c r="K57" s="23">
        <f t="shared" si="13"/>
        <v>0</v>
      </c>
      <c r="L57" s="23">
        <f t="shared" si="13"/>
        <v>6.5962640695744054E-3</v>
      </c>
      <c r="M57" s="23">
        <f t="shared" si="13"/>
        <v>0</v>
      </c>
      <c r="N57" s="23">
        <f t="shared" si="13"/>
        <v>1.2175668660356546E-2</v>
      </c>
      <c r="O57" s="23">
        <f t="shared" si="13"/>
        <v>0</v>
      </c>
      <c r="P57" s="26"/>
      <c r="Q57" s="7">
        <f t="shared" ref="Q57:R60" si="14">Q52/$T52</f>
        <v>7.6417370989634942E-2</v>
      </c>
      <c r="R57" s="7">
        <f t="shared" si="14"/>
        <v>6.5962640695744054E-3</v>
      </c>
      <c r="T57" s="8">
        <f>SUM(C57:O57)</f>
        <v>0.99999999999999978</v>
      </c>
    </row>
    <row r="58" spans="1:36" ht="15" x14ac:dyDescent="0.25">
      <c r="B58" s="3">
        <v>2030</v>
      </c>
      <c r="C58" s="23">
        <f t="shared" ref="C58:O58" si="15">IFERROR(C53/$T53,0)</f>
        <v>0.67607647838306184</v>
      </c>
      <c r="D58" s="23">
        <f t="shared" si="15"/>
        <v>4.1751488940340455E-2</v>
      </c>
      <c r="E58" s="23">
        <f t="shared" si="15"/>
        <v>4.5231750469616881E-2</v>
      </c>
      <c r="F58" s="23">
        <f t="shared" si="15"/>
        <v>1.8493439925443768E-3</v>
      </c>
      <c r="G58" s="23">
        <f t="shared" si="15"/>
        <v>5.2623301734306065E-2</v>
      </c>
      <c r="H58" s="23">
        <f t="shared" si="15"/>
        <v>0.10167314665152243</v>
      </c>
      <c r="I58" s="23">
        <f t="shared" si="15"/>
        <v>1.4430707847334471E-2</v>
      </c>
      <c r="J58" s="23">
        <f t="shared" si="15"/>
        <v>3.7942131550973451E-2</v>
      </c>
      <c r="K58" s="23">
        <f t="shared" si="15"/>
        <v>5.9528490090719789E-3</v>
      </c>
      <c r="L58" s="23">
        <f t="shared" si="15"/>
        <v>7.4206747921308231E-3</v>
      </c>
      <c r="M58" s="23">
        <f t="shared" si="15"/>
        <v>3.5239468204388915E-4</v>
      </c>
      <c r="N58" s="23">
        <f t="shared" si="15"/>
        <v>1.4695731947053427E-2</v>
      </c>
      <c r="O58" s="23">
        <f t="shared" si="15"/>
        <v>0</v>
      </c>
      <c r="P58" s="26"/>
      <c r="Q58" s="7">
        <f t="shared" si="14"/>
        <v>6.7319033681359497E-2</v>
      </c>
      <c r="R58" s="7">
        <f t="shared" si="14"/>
        <v>1.3373523801202802E-2</v>
      </c>
      <c r="T58" s="8">
        <f>SUM(C58:O58)</f>
        <v>1</v>
      </c>
    </row>
    <row r="59" spans="1:36" ht="15" x14ac:dyDescent="0.25">
      <c r="B59" s="3">
        <v>2040</v>
      </c>
      <c r="C59" s="23">
        <f t="shared" ref="C59:O59" si="16">IFERROR(C54/$T54,0)</f>
        <v>0.51216000406758677</v>
      </c>
      <c r="D59" s="23">
        <f t="shared" si="16"/>
        <v>8.0048256368893136E-2</v>
      </c>
      <c r="E59" s="23">
        <f t="shared" si="16"/>
        <v>0.10442604272352662</v>
      </c>
      <c r="F59" s="23">
        <f t="shared" si="16"/>
        <v>2.2325503999408355E-3</v>
      </c>
      <c r="G59" s="23">
        <f t="shared" si="16"/>
        <v>6.5529745382942484E-2</v>
      </c>
      <c r="H59" s="23">
        <f t="shared" si="16"/>
        <v>0.15107848824444348</v>
      </c>
      <c r="I59" s="23">
        <f t="shared" si="16"/>
        <v>1.1657333558283203E-2</v>
      </c>
      <c r="J59" s="23">
        <f t="shared" si="16"/>
        <v>5.0881811185401069E-2</v>
      </c>
      <c r="K59" s="23">
        <f t="shared" si="16"/>
        <v>4.8187035029778899E-3</v>
      </c>
      <c r="L59" s="23">
        <f t="shared" si="16"/>
        <v>6.1083133613288078E-3</v>
      </c>
      <c r="M59" s="23">
        <f t="shared" si="16"/>
        <v>2.8426883974401939E-4</v>
      </c>
      <c r="N59" s="23">
        <f t="shared" si="16"/>
        <v>1.0774482364931857E-2</v>
      </c>
      <c r="O59" s="23">
        <f t="shared" si="16"/>
        <v>0</v>
      </c>
      <c r="P59" s="26"/>
      <c r="Q59" s="7">
        <f t="shared" si="14"/>
        <v>7.6304227747874348E-2</v>
      </c>
      <c r="R59" s="7">
        <f t="shared" si="14"/>
        <v>1.0927016864306697E-2</v>
      </c>
      <c r="T59" s="8">
        <f>SUM(C59:O59)</f>
        <v>1</v>
      </c>
    </row>
    <row r="60" spans="1:36" ht="15" x14ac:dyDescent="0.25">
      <c r="B60" s="3">
        <v>2050</v>
      </c>
      <c r="C60" s="23">
        <f t="shared" ref="C60:O60" si="17">IFERROR(C55/$T55,0)</f>
        <v>0.3270824937282707</v>
      </c>
      <c r="D60" s="23">
        <f t="shared" si="17"/>
        <v>0.28022530018492203</v>
      </c>
      <c r="E60" s="23">
        <f t="shared" si="17"/>
        <v>9.3195679882452087E-2</v>
      </c>
      <c r="F60" s="23">
        <f t="shared" si="17"/>
        <v>1.5985437632689739E-3</v>
      </c>
      <c r="G60" s="23">
        <f t="shared" si="17"/>
        <v>5.2956341822262755E-2</v>
      </c>
      <c r="H60" s="23">
        <f t="shared" si="17"/>
        <v>0.17639708675522614</v>
      </c>
      <c r="I60" s="23">
        <f t="shared" si="17"/>
        <v>0</v>
      </c>
      <c r="J60" s="23">
        <f t="shared" si="17"/>
        <v>5.3133743542673792E-2</v>
      </c>
      <c r="K60" s="23">
        <f t="shared" si="17"/>
        <v>3.2780752684647228E-3</v>
      </c>
      <c r="L60" s="23">
        <f t="shared" si="17"/>
        <v>3.0100444082784899E-3</v>
      </c>
      <c r="M60" s="23">
        <f t="shared" si="17"/>
        <v>1.0991193547205248E-4</v>
      </c>
      <c r="N60" s="23">
        <f t="shared" si="17"/>
        <v>9.0127787087083029E-3</v>
      </c>
      <c r="O60" s="23">
        <f t="shared" si="17"/>
        <v>0</v>
      </c>
      <c r="P60" s="26"/>
      <c r="Q60" s="7">
        <f t="shared" si="14"/>
        <v>6.1969120530971061E-2</v>
      </c>
      <c r="R60" s="7">
        <f t="shared" si="14"/>
        <v>6.2881196767432127E-3</v>
      </c>
      <c r="T60" s="8">
        <f>SUM(C60:O60)</f>
        <v>0.99999999999999989</v>
      </c>
    </row>
    <row r="62" spans="1:36" s="9" customFormat="1" ht="21" x14ac:dyDescent="0.35">
      <c r="B62" s="10" t="s">
        <v>12</v>
      </c>
      <c r="Y62" s="86"/>
    </row>
    <row r="63" spans="1:36" s="32" customFormat="1" ht="21" x14ac:dyDescent="0.35">
      <c r="B63" s="31"/>
      <c r="P63" s="58"/>
      <c r="Y63" s="87"/>
    </row>
    <row r="64" spans="1:36" ht="30" x14ac:dyDescent="0.25">
      <c r="B64" s="43" t="s">
        <v>37</v>
      </c>
      <c r="C64" s="43" t="s">
        <v>0</v>
      </c>
      <c r="D64" s="43" t="s">
        <v>1</v>
      </c>
      <c r="E64" s="43" t="s">
        <v>28</v>
      </c>
      <c r="F64" s="2" t="s">
        <v>29</v>
      </c>
      <c r="G64" s="2" t="s">
        <v>6</v>
      </c>
      <c r="H64" s="43" t="s">
        <v>2</v>
      </c>
      <c r="I64" s="43" t="s">
        <v>3</v>
      </c>
      <c r="J64" s="43" t="s">
        <v>4</v>
      </c>
      <c r="K64" s="43" t="s">
        <v>9</v>
      </c>
      <c r="L64" s="43" t="s">
        <v>8</v>
      </c>
      <c r="M64" s="43" t="s">
        <v>25</v>
      </c>
      <c r="N64" s="43" t="s">
        <v>7</v>
      </c>
      <c r="O64" s="43" t="s">
        <v>89</v>
      </c>
      <c r="P64" s="25"/>
      <c r="Q64" s="43" t="s">
        <v>5</v>
      </c>
      <c r="R64" s="43" t="s">
        <v>91</v>
      </c>
      <c r="T64" s="43"/>
    </row>
    <row r="65" spans="2:20" ht="15" x14ac:dyDescent="0.25">
      <c r="B65" s="3">
        <v>2016</v>
      </c>
      <c r="C65" s="23">
        <f t="shared" ref="C65:O65" si="18">IFERROR(C34/(8.76*C4),0)</f>
        <v>0.61670682155154666</v>
      </c>
      <c r="D65" s="23">
        <f t="shared" si="18"/>
        <v>0.90488773776270071</v>
      </c>
      <c r="E65" s="23">
        <f t="shared" si="18"/>
        <v>0.20327398012747969</v>
      </c>
      <c r="F65" s="23">
        <f t="shared" si="18"/>
        <v>6.7588779038524713E-2</v>
      </c>
      <c r="G65" s="23">
        <f t="shared" si="18"/>
        <v>0.82769756710584552</v>
      </c>
      <c r="H65" s="23">
        <f t="shared" si="18"/>
        <v>0.35157512265710944</v>
      </c>
      <c r="I65" s="23">
        <f t="shared" si="18"/>
        <v>0.47241434111308539</v>
      </c>
      <c r="J65" s="23">
        <f t="shared" si="18"/>
        <v>0.20369543738680201</v>
      </c>
      <c r="K65" s="23">
        <f t="shared" si="18"/>
        <v>0</v>
      </c>
      <c r="L65" s="23">
        <f t="shared" si="18"/>
        <v>0.68481680259532229</v>
      </c>
      <c r="M65" s="23">
        <f t="shared" si="18"/>
        <v>0</v>
      </c>
      <c r="N65" s="23">
        <f t="shared" si="18"/>
        <v>0.21634536847565858</v>
      </c>
      <c r="O65" s="23">
        <f t="shared" si="18"/>
        <v>0</v>
      </c>
      <c r="P65" s="26"/>
      <c r="Q65" s="6">
        <f t="shared" ref="Q65:R68" si="19">IFERROR(Q34/(8.76*Q4),0)</f>
        <v>0.57073122663346065</v>
      </c>
      <c r="R65" s="6">
        <f t="shared" si="19"/>
        <v>0.68481680259532229</v>
      </c>
      <c r="S65" s="5"/>
      <c r="T65" s="5"/>
    </row>
    <row r="66" spans="2:20" ht="15" x14ac:dyDescent="0.25">
      <c r="B66" s="3">
        <v>2030</v>
      </c>
      <c r="C66" s="23">
        <f t="shared" ref="C66:O66" si="20">IFERROR(C35/(8.76*C5),0)</f>
        <v>0.65434605903653575</v>
      </c>
      <c r="D66" s="23">
        <f t="shared" si="20"/>
        <v>0.89742523481220582</v>
      </c>
      <c r="E66" s="23">
        <f t="shared" si="20"/>
        <v>0.59835370658565501</v>
      </c>
      <c r="F66" s="23">
        <f t="shared" si="20"/>
        <v>3.8597209283834453E-3</v>
      </c>
      <c r="G66" s="23">
        <f t="shared" si="20"/>
        <v>0.67851791946603568</v>
      </c>
      <c r="H66" s="23">
        <f t="shared" si="20"/>
        <v>0.36597651204613857</v>
      </c>
      <c r="I66" s="23">
        <f t="shared" si="20"/>
        <v>0.47971184845235049</v>
      </c>
      <c r="J66" s="23">
        <f t="shared" si="20"/>
        <v>0.20248181239939173</v>
      </c>
      <c r="K66" s="23">
        <f t="shared" si="20"/>
        <v>0</v>
      </c>
      <c r="L66" s="23">
        <f t="shared" si="20"/>
        <v>0.68052679295562746</v>
      </c>
      <c r="M66" s="23">
        <f t="shared" si="20"/>
        <v>0</v>
      </c>
      <c r="N66" s="23">
        <f t="shared" si="20"/>
        <v>0.16300888054206084</v>
      </c>
      <c r="O66" s="23">
        <f t="shared" si="20"/>
        <v>0</v>
      </c>
      <c r="P66" s="26"/>
      <c r="Q66" s="6">
        <f t="shared" si="19"/>
        <v>0.46183681238971752</v>
      </c>
      <c r="R66" s="6">
        <f t="shared" si="19"/>
        <v>0.68052679295562746</v>
      </c>
      <c r="S66" s="5"/>
      <c r="T66" s="5"/>
    </row>
    <row r="67" spans="2:20" ht="15" x14ac:dyDescent="0.25">
      <c r="B67" s="3">
        <v>2040</v>
      </c>
      <c r="C67" s="23">
        <f t="shared" ref="C67:O67" si="21">IFERROR(C36/(8.76*C6),0)</f>
        <v>0.64711578796631974</v>
      </c>
      <c r="D67" s="23">
        <f t="shared" si="21"/>
        <v>0.90218141961548148</v>
      </c>
      <c r="E67" s="23">
        <f t="shared" si="21"/>
        <v>0.59991420403054996</v>
      </c>
      <c r="F67" s="23">
        <f t="shared" si="21"/>
        <v>9.8097393808177606E-3</v>
      </c>
      <c r="G67" s="23">
        <f t="shared" si="21"/>
        <v>0.67456471782740923</v>
      </c>
      <c r="H67" s="23">
        <f t="shared" si="21"/>
        <v>0</v>
      </c>
      <c r="I67" s="23">
        <f t="shared" si="21"/>
        <v>0.48147569681897401</v>
      </c>
      <c r="J67" s="23">
        <f t="shared" si="21"/>
        <v>0.20371139225017346</v>
      </c>
      <c r="K67" s="23">
        <f t="shared" si="21"/>
        <v>0</v>
      </c>
      <c r="L67" s="23">
        <f t="shared" si="21"/>
        <v>0.70215205786100376</v>
      </c>
      <c r="M67" s="23">
        <f t="shared" si="21"/>
        <v>0</v>
      </c>
      <c r="N67" s="23">
        <f t="shared" si="21"/>
        <v>0.14982629806075667</v>
      </c>
      <c r="O67" s="23">
        <f t="shared" si="21"/>
        <v>0</v>
      </c>
      <c r="P67" s="26"/>
      <c r="Q67" s="6">
        <f t="shared" si="19"/>
        <v>0.45400427536097915</v>
      </c>
      <c r="R67" s="6">
        <f t="shared" si="19"/>
        <v>0.70215205786100376</v>
      </c>
      <c r="S67" s="5"/>
      <c r="T67" s="5"/>
    </row>
    <row r="68" spans="2:20" ht="15" x14ac:dyDescent="0.25">
      <c r="B68" s="3">
        <v>2050</v>
      </c>
      <c r="C68" s="23">
        <f t="shared" ref="C68:O68" si="22">IFERROR(C37/(8.76*C7),0)</f>
        <v>0</v>
      </c>
      <c r="D68" s="23">
        <f t="shared" si="22"/>
        <v>0</v>
      </c>
      <c r="E68" s="23">
        <f t="shared" si="22"/>
        <v>0.59617253806779369</v>
      </c>
      <c r="F68" s="23">
        <f t="shared" si="22"/>
        <v>0</v>
      </c>
      <c r="G68" s="23">
        <f t="shared" si="22"/>
        <v>0.67159062594071595</v>
      </c>
      <c r="H68" s="23">
        <f t="shared" si="22"/>
        <v>0</v>
      </c>
      <c r="I68" s="23">
        <f t="shared" si="22"/>
        <v>0</v>
      </c>
      <c r="J68" s="23">
        <f t="shared" si="22"/>
        <v>0</v>
      </c>
      <c r="K68" s="23">
        <f t="shared" si="22"/>
        <v>0</v>
      </c>
      <c r="L68" s="23">
        <f t="shared" si="22"/>
        <v>0.68690029471201774</v>
      </c>
      <c r="M68" s="23">
        <f t="shared" si="22"/>
        <v>0</v>
      </c>
      <c r="N68" s="23">
        <f t="shared" si="22"/>
        <v>0.14837434045378933</v>
      </c>
      <c r="O68" s="23">
        <f t="shared" si="22"/>
        <v>0</v>
      </c>
      <c r="P68" s="26"/>
      <c r="Q68" s="6">
        <f t="shared" si="19"/>
        <v>0.4516699738871528</v>
      </c>
      <c r="R68" s="6">
        <f t="shared" si="19"/>
        <v>0.68690029471201774</v>
      </c>
      <c r="S68" s="5"/>
      <c r="T68" s="5"/>
    </row>
    <row r="69" spans="2:20" ht="15" x14ac:dyDescent="0.25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28"/>
      <c r="Q69" s="5"/>
      <c r="R69" s="5"/>
      <c r="S69" s="5"/>
      <c r="T69" s="5"/>
    </row>
    <row r="70" spans="2:20" ht="30" x14ac:dyDescent="0.25">
      <c r="B70" s="43" t="s">
        <v>38</v>
      </c>
      <c r="C70" s="43" t="s">
        <v>0</v>
      </c>
      <c r="D70" s="43" t="s">
        <v>1</v>
      </c>
      <c r="E70" s="43" t="s">
        <v>28</v>
      </c>
      <c r="F70" s="2" t="s">
        <v>29</v>
      </c>
      <c r="G70" s="2" t="s">
        <v>6</v>
      </c>
      <c r="H70" s="43" t="s">
        <v>2</v>
      </c>
      <c r="I70" s="43" t="s">
        <v>3</v>
      </c>
      <c r="J70" s="43" t="s">
        <v>4</v>
      </c>
      <c r="K70" s="43" t="s">
        <v>9</v>
      </c>
      <c r="L70" s="43" t="s">
        <v>8</v>
      </c>
      <c r="M70" s="43" t="s">
        <v>25</v>
      </c>
      <c r="N70" s="43" t="s">
        <v>7</v>
      </c>
      <c r="O70" s="43" t="s">
        <v>89</v>
      </c>
      <c r="P70" s="25"/>
      <c r="Q70" s="43" t="s">
        <v>5</v>
      </c>
      <c r="R70" s="43" t="s">
        <v>91</v>
      </c>
      <c r="T70" s="43"/>
    </row>
    <row r="71" spans="2:20" ht="15" x14ac:dyDescent="0.25">
      <c r="B71" s="3">
        <v>2016</v>
      </c>
      <c r="C71" s="23">
        <f t="shared" ref="C71:O71" si="23">IFERROR(C40/(8.76*C10),0)</f>
        <v>0.81216512155767595</v>
      </c>
      <c r="D71" s="23">
        <f t="shared" si="23"/>
        <v>0</v>
      </c>
      <c r="E71" s="23">
        <f t="shared" si="23"/>
        <v>0</v>
      </c>
      <c r="F71" s="23">
        <f t="shared" si="23"/>
        <v>0</v>
      </c>
      <c r="G71" s="23">
        <f t="shared" si="23"/>
        <v>0</v>
      </c>
      <c r="H71" s="23">
        <f t="shared" si="23"/>
        <v>0.35157512265717339</v>
      </c>
      <c r="I71" s="23">
        <f t="shared" si="23"/>
        <v>0</v>
      </c>
      <c r="J71" s="23">
        <f t="shared" si="23"/>
        <v>0</v>
      </c>
      <c r="K71" s="23">
        <f t="shared" si="23"/>
        <v>0</v>
      </c>
      <c r="L71" s="23">
        <f t="shared" si="23"/>
        <v>0</v>
      </c>
      <c r="M71" s="23">
        <f t="shared" si="23"/>
        <v>0</v>
      </c>
      <c r="N71" s="23">
        <f t="shared" si="23"/>
        <v>0</v>
      </c>
      <c r="O71" s="23">
        <f t="shared" si="23"/>
        <v>0</v>
      </c>
      <c r="P71" s="26"/>
      <c r="Q71" s="7">
        <f t="shared" ref="Q71:R74" si="24">IFERROR(Q40/(8.76*Q10),0)</f>
        <v>0</v>
      </c>
      <c r="R71" s="7">
        <f t="shared" si="24"/>
        <v>0</v>
      </c>
      <c r="S71" s="5"/>
      <c r="T71" s="5"/>
    </row>
    <row r="72" spans="2:20" ht="15" x14ac:dyDescent="0.25">
      <c r="B72" s="3">
        <v>2030</v>
      </c>
      <c r="C72" s="23">
        <f t="shared" ref="C72:O72" si="25">IFERROR(C41/(8.76*C11),0)</f>
        <v>0.84951333770627713</v>
      </c>
      <c r="D72" s="23">
        <f t="shared" si="25"/>
        <v>0</v>
      </c>
      <c r="E72" s="23">
        <f t="shared" si="25"/>
        <v>0</v>
      </c>
      <c r="F72" s="23">
        <f t="shared" si="25"/>
        <v>0</v>
      </c>
      <c r="G72" s="23">
        <f t="shared" si="25"/>
        <v>0.49420152672275586</v>
      </c>
      <c r="H72" s="23">
        <f t="shared" si="25"/>
        <v>0.3660214710538825</v>
      </c>
      <c r="I72" s="23">
        <f t="shared" si="25"/>
        <v>0.56587368531029691</v>
      </c>
      <c r="J72" s="23">
        <f t="shared" si="25"/>
        <v>0.20253731028311614</v>
      </c>
      <c r="K72" s="23">
        <f t="shared" si="25"/>
        <v>0.76451604351263047</v>
      </c>
      <c r="L72" s="23">
        <f t="shared" si="25"/>
        <v>0.76481757677297457</v>
      </c>
      <c r="M72" s="23">
        <f t="shared" si="25"/>
        <v>0</v>
      </c>
      <c r="N72" s="23">
        <f t="shared" si="25"/>
        <v>0.24773014127852874</v>
      </c>
      <c r="O72" s="23">
        <f t="shared" si="25"/>
        <v>0</v>
      </c>
      <c r="P72" s="26"/>
      <c r="Q72" s="7">
        <f t="shared" si="24"/>
        <v>0.25578476171788256</v>
      </c>
      <c r="R72" s="7">
        <f t="shared" si="24"/>
        <v>0.76473999782735202</v>
      </c>
      <c r="S72" s="5"/>
      <c r="T72" s="5"/>
    </row>
    <row r="73" spans="2:20" ht="15" x14ac:dyDescent="0.25">
      <c r="B73" s="3">
        <v>2040</v>
      </c>
      <c r="C73" s="23">
        <f t="shared" ref="C73:O73" si="26">IFERROR(C42/(8.76*C12),0)</f>
        <v>0.88658598594797</v>
      </c>
      <c r="D73" s="23">
        <f t="shared" si="26"/>
        <v>0</v>
      </c>
      <c r="E73" s="23">
        <f t="shared" si="26"/>
        <v>0</v>
      </c>
      <c r="F73" s="23">
        <f t="shared" si="26"/>
        <v>0</v>
      </c>
      <c r="G73" s="23">
        <f t="shared" si="26"/>
        <v>0.49676063957513189</v>
      </c>
      <c r="H73" s="23">
        <f t="shared" si="26"/>
        <v>0</v>
      </c>
      <c r="I73" s="23">
        <f t="shared" si="26"/>
        <v>0.56698146482548084</v>
      </c>
      <c r="J73" s="23">
        <f t="shared" si="26"/>
        <v>0.20371317288190183</v>
      </c>
      <c r="K73" s="23">
        <f t="shared" si="26"/>
        <v>0.76785207713717774</v>
      </c>
      <c r="L73" s="23">
        <f t="shared" si="26"/>
        <v>0.76874270920676513</v>
      </c>
      <c r="M73" s="23">
        <f t="shared" si="26"/>
        <v>0</v>
      </c>
      <c r="N73" s="23">
        <f t="shared" si="26"/>
        <v>0.22350786226206126</v>
      </c>
      <c r="O73" s="23">
        <f t="shared" si="26"/>
        <v>0</v>
      </c>
      <c r="P73" s="26"/>
      <c r="Q73" s="7">
        <f t="shared" si="24"/>
        <v>0.23243769158601779</v>
      </c>
      <c r="R73" s="7">
        <f t="shared" si="24"/>
        <v>0.76851356600439558</v>
      </c>
      <c r="S73" s="5"/>
      <c r="T73" s="5"/>
    </row>
    <row r="74" spans="2:20" ht="15" x14ac:dyDescent="0.25">
      <c r="B74" s="3">
        <v>2050</v>
      </c>
      <c r="C74" s="23">
        <f t="shared" ref="C74:O74" si="27">IFERROR(C43/(8.76*C13),0)</f>
        <v>0.86224941133336208</v>
      </c>
      <c r="D74" s="23">
        <f t="shared" si="27"/>
        <v>0</v>
      </c>
      <c r="E74" s="23">
        <f t="shared" si="27"/>
        <v>0</v>
      </c>
      <c r="F74" s="23">
        <f t="shared" si="27"/>
        <v>0</v>
      </c>
      <c r="G74" s="23">
        <f t="shared" si="27"/>
        <v>0.49049638810954249</v>
      </c>
      <c r="H74" s="23">
        <f t="shared" si="27"/>
        <v>0</v>
      </c>
      <c r="I74" s="23">
        <f t="shared" si="27"/>
        <v>0</v>
      </c>
      <c r="J74" s="23">
        <f t="shared" si="27"/>
        <v>0</v>
      </c>
      <c r="K74" s="23">
        <f t="shared" si="27"/>
        <v>0</v>
      </c>
      <c r="L74" s="23">
        <f t="shared" si="27"/>
        <v>0</v>
      </c>
      <c r="M74" s="23">
        <f t="shared" si="27"/>
        <v>0</v>
      </c>
      <c r="N74" s="23">
        <f t="shared" si="27"/>
        <v>0.23164267546567296</v>
      </c>
      <c r="O74" s="23">
        <f t="shared" si="27"/>
        <v>0</v>
      </c>
      <c r="P74" s="26"/>
      <c r="Q74" s="7">
        <f t="shared" si="24"/>
        <v>0.24010194712070138</v>
      </c>
      <c r="R74" s="7">
        <f t="shared" si="24"/>
        <v>0</v>
      </c>
      <c r="S74" s="5"/>
      <c r="T74" s="5"/>
    </row>
    <row r="75" spans="2:20" ht="15" x14ac:dyDescent="0.25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28"/>
      <c r="Q75" s="5"/>
      <c r="R75" s="5"/>
      <c r="S75" s="5"/>
      <c r="T75" s="5"/>
    </row>
    <row r="76" spans="2:20" ht="30" x14ac:dyDescent="0.25">
      <c r="B76" s="22" t="s">
        <v>43</v>
      </c>
      <c r="C76" s="43" t="s">
        <v>0</v>
      </c>
      <c r="D76" s="43" t="s">
        <v>1</v>
      </c>
      <c r="E76" s="43" t="s">
        <v>28</v>
      </c>
      <c r="F76" s="2" t="s">
        <v>29</v>
      </c>
      <c r="G76" s="2" t="s">
        <v>6</v>
      </c>
      <c r="H76" s="43" t="s">
        <v>2</v>
      </c>
      <c r="I76" s="43" t="s">
        <v>3</v>
      </c>
      <c r="J76" s="43" t="s">
        <v>4</v>
      </c>
      <c r="K76" s="43" t="s">
        <v>9</v>
      </c>
      <c r="L76" s="43" t="s">
        <v>8</v>
      </c>
      <c r="M76" s="43" t="s">
        <v>25</v>
      </c>
      <c r="N76" s="43" t="s">
        <v>7</v>
      </c>
      <c r="O76" s="43" t="s">
        <v>89</v>
      </c>
      <c r="P76" s="25"/>
      <c r="Q76" s="43" t="s">
        <v>5</v>
      </c>
      <c r="R76" s="43" t="s">
        <v>91</v>
      </c>
      <c r="T76" s="43"/>
    </row>
    <row r="77" spans="2:20" ht="15" x14ac:dyDescent="0.25">
      <c r="B77" s="3">
        <v>2016</v>
      </c>
      <c r="C77" s="23">
        <f t="shared" ref="C77:O77" si="28">IFERROR(C46/(8.76*C16),0)</f>
        <v>0</v>
      </c>
      <c r="D77" s="23">
        <f t="shared" si="28"/>
        <v>0</v>
      </c>
      <c r="E77" s="23">
        <f t="shared" si="28"/>
        <v>0</v>
      </c>
      <c r="F77" s="23">
        <f t="shared" si="28"/>
        <v>0</v>
      </c>
      <c r="G77" s="23">
        <f t="shared" si="28"/>
        <v>0</v>
      </c>
      <c r="H77" s="23">
        <f t="shared" si="28"/>
        <v>0</v>
      </c>
      <c r="I77" s="23">
        <f t="shared" si="28"/>
        <v>0</v>
      </c>
      <c r="J77" s="23">
        <f t="shared" si="28"/>
        <v>0</v>
      </c>
      <c r="K77" s="23">
        <f t="shared" si="28"/>
        <v>0</v>
      </c>
      <c r="L77" s="23">
        <f t="shared" si="28"/>
        <v>0</v>
      </c>
      <c r="M77" s="23">
        <f t="shared" si="28"/>
        <v>0</v>
      </c>
      <c r="N77" s="23">
        <f t="shared" si="28"/>
        <v>0</v>
      </c>
      <c r="O77" s="23">
        <f t="shared" si="28"/>
        <v>0</v>
      </c>
      <c r="P77" s="26"/>
      <c r="Q77" s="7">
        <f t="shared" ref="Q77:R80" si="29">IFERROR(Q46/(8.76*Q16),0)</f>
        <v>0</v>
      </c>
      <c r="R77" s="7">
        <f t="shared" si="29"/>
        <v>0</v>
      </c>
      <c r="S77" s="5"/>
      <c r="T77" s="5"/>
    </row>
    <row r="78" spans="2:20" ht="15" x14ac:dyDescent="0.25">
      <c r="B78" s="3">
        <v>2030</v>
      </c>
      <c r="C78" s="23">
        <f t="shared" ref="C78:O78" si="30">IFERROR(C47/(8.76*C17),0)</f>
        <v>0.72877167545743116</v>
      </c>
      <c r="D78" s="23">
        <f t="shared" si="30"/>
        <v>0</v>
      </c>
      <c r="E78" s="23">
        <f t="shared" si="30"/>
        <v>0.2123346551869604</v>
      </c>
      <c r="F78" s="23">
        <f t="shared" si="30"/>
        <v>1.1467074929906878E-2</v>
      </c>
      <c r="G78" s="23">
        <f t="shared" si="30"/>
        <v>0.60313285800562511</v>
      </c>
      <c r="H78" s="23">
        <f t="shared" si="30"/>
        <v>0.36600483749464358</v>
      </c>
      <c r="I78" s="23">
        <f t="shared" si="30"/>
        <v>0</v>
      </c>
      <c r="J78" s="23">
        <f t="shared" si="30"/>
        <v>0.20249225865870471</v>
      </c>
      <c r="K78" s="23">
        <f t="shared" si="30"/>
        <v>0.78989446114095763</v>
      </c>
      <c r="L78" s="23">
        <f t="shared" si="30"/>
        <v>0</v>
      </c>
      <c r="M78" s="23">
        <f t="shared" si="30"/>
        <v>1.4088624675420974E-2</v>
      </c>
      <c r="N78" s="23">
        <f t="shared" si="30"/>
        <v>0</v>
      </c>
      <c r="O78" s="23">
        <f t="shared" si="30"/>
        <v>0</v>
      </c>
      <c r="P78" s="26"/>
      <c r="Q78" s="7">
        <f t="shared" si="29"/>
        <v>0.60313285800562511</v>
      </c>
      <c r="R78" s="7">
        <f t="shared" si="29"/>
        <v>0.78989446114095763</v>
      </c>
      <c r="S78" s="5"/>
      <c r="T78" s="5"/>
    </row>
    <row r="79" spans="2:20" ht="15" x14ac:dyDescent="0.25">
      <c r="B79" s="3">
        <v>2040</v>
      </c>
      <c r="C79" s="23">
        <f t="shared" ref="C79:O79" si="31">IFERROR(C48/(8.76*C18),0)</f>
        <v>0.84160503756748173</v>
      </c>
      <c r="D79" s="23">
        <f t="shared" si="31"/>
        <v>0.84345553321646183</v>
      </c>
      <c r="E79" s="23">
        <f t="shared" si="31"/>
        <v>0.29253016335088022</v>
      </c>
      <c r="F79" s="23">
        <f t="shared" si="31"/>
        <v>8.8865946256732001E-3</v>
      </c>
      <c r="G79" s="23">
        <f t="shared" si="31"/>
        <v>0.70327550115358128</v>
      </c>
      <c r="H79" s="23">
        <f t="shared" si="31"/>
        <v>0.35182278449649373</v>
      </c>
      <c r="I79" s="23">
        <f t="shared" si="31"/>
        <v>0</v>
      </c>
      <c r="J79" s="23">
        <f t="shared" si="31"/>
        <v>0.20375605894437615</v>
      </c>
      <c r="K79" s="23">
        <f t="shared" si="31"/>
        <v>0.79328852904459524</v>
      </c>
      <c r="L79" s="23">
        <f t="shared" si="31"/>
        <v>0</v>
      </c>
      <c r="M79" s="23">
        <f t="shared" si="31"/>
        <v>1.4100359692555667E-2</v>
      </c>
      <c r="N79" s="23">
        <f t="shared" si="31"/>
        <v>0</v>
      </c>
      <c r="O79" s="23">
        <f t="shared" si="31"/>
        <v>0</v>
      </c>
      <c r="P79" s="26"/>
      <c r="Q79" s="7">
        <f t="shared" si="29"/>
        <v>0.70327550115358128</v>
      </c>
      <c r="R79" s="7">
        <f t="shared" si="29"/>
        <v>0.79328852904459524</v>
      </c>
      <c r="S79" s="5"/>
      <c r="T79" s="5"/>
    </row>
    <row r="80" spans="2:20" ht="15" x14ac:dyDescent="0.25">
      <c r="B80" s="3">
        <v>2050</v>
      </c>
      <c r="C80" s="23">
        <f t="shared" ref="C80:O80" si="32">IFERROR(C49/(8.76*C19),0)</f>
        <v>0.76552287604243785</v>
      </c>
      <c r="D80" s="23">
        <f t="shared" si="32"/>
        <v>0.82817354601639548</v>
      </c>
      <c r="E80" s="23">
        <f t="shared" si="32"/>
        <v>0.24414785703226494</v>
      </c>
      <c r="F80" s="23">
        <f t="shared" si="32"/>
        <v>7.2236043703422254E-3</v>
      </c>
      <c r="G80" s="23">
        <f t="shared" si="32"/>
        <v>0.68196552554800849</v>
      </c>
      <c r="H80" s="23">
        <f t="shared" si="32"/>
        <v>0.34957675882172401</v>
      </c>
      <c r="I80" s="23">
        <f t="shared" si="32"/>
        <v>0</v>
      </c>
      <c r="J80" s="23">
        <f t="shared" si="32"/>
        <v>0.20234322271812163</v>
      </c>
      <c r="K80" s="23">
        <f t="shared" si="32"/>
        <v>0.78995734085010527</v>
      </c>
      <c r="L80" s="23">
        <f t="shared" si="32"/>
        <v>0</v>
      </c>
      <c r="M80" s="23">
        <f t="shared" si="32"/>
        <v>1.3243402478957646E-2</v>
      </c>
      <c r="N80" s="23">
        <f t="shared" si="32"/>
        <v>0</v>
      </c>
      <c r="O80" s="23">
        <f t="shared" si="32"/>
        <v>0</v>
      </c>
      <c r="P80" s="26"/>
      <c r="Q80" s="7">
        <f t="shared" si="29"/>
        <v>0.68196552554800849</v>
      </c>
      <c r="R80" s="7">
        <f t="shared" si="29"/>
        <v>0.78995734085010527</v>
      </c>
      <c r="S80" s="5"/>
      <c r="T80" s="5"/>
    </row>
    <row r="81" spans="1:58" ht="15" x14ac:dyDescent="0.25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28"/>
    </row>
    <row r="82" spans="1:58" ht="30" x14ac:dyDescent="0.25">
      <c r="B82" s="22" t="s">
        <v>52</v>
      </c>
      <c r="C82" s="43" t="s">
        <v>0</v>
      </c>
      <c r="D82" s="43" t="s">
        <v>1</v>
      </c>
      <c r="E82" s="43" t="s">
        <v>28</v>
      </c>
      <c r="F82" s="2" t="s">
        <v>29</v>
      </c>
      <c r="G82" s="2" t="s">
        <v>6</v>
      </c>
      <c r="H82" s="43" t="s">
        <v>2</v>
      </c>
      <c r="I82" s="43" t="s">
        <v>3</v>
      </c>
      <c r="J82" s="43" t="s">
        <v>4</v>
      </c>
      <c r="K82" s="43" t="s">
        <v>9</v>
      </c>
      <c r="L82" s="43" t="s">
        <v>8</v>
      </c>
      <c r="M82" s="43" t="s">
        <v>25</v>
      </c>
      <c r="N82" s="43" t="s">
        <v>7</v>
      </c>
      <c r="O82" s="43" t="s">
        <v>89</v>
      </c>
      <c r="P82" s="25"/>
      <c r="Q82" s="43" t="s">
        <v>5</v>
      </c>
      <c r="R82" s="43" t="s">
        <v>91</v>
      </c>
      <c r="T82" s="43"/>
    </row>
    <row r="83" spans="1:58" ht="15" x14ac:dyDescent="0.25">
      <c r="B83" s="3">
        <v>2016</v>
      </c>
      <c r="C83" s="23">
        <f t="shared" ref="C83:O83" si="33">IFERROR(C52/(8.76*C22),0)</f>
        <v>0.6205435050544672</v>
      </c>
      <c r="D83" s="23">
        <f t="shared" si="33"/>
        <v>0.90488773776270071</v>
      </c>
      <c r="E83" s="23">
        <f t="shared" si="33"/>
        <v>0.20327398012747969</v>
      </c>
      <c r="F83" s="23">
        <f t="shared" si="33"/>
        <v>6.7588779038524713E-2</v>
      </c>
      <c r="G83" s="23">
        <f t="shared" si="33"/>
        <v>0.82769756710584552</v>
      </c>
      <c r="H83" s="23">
        <f t="shared" si="33"/>
        <v>0.35157512265711616</v>
      </c>
      <c r="I83" s="23">
        <f t="shared" si="33"/>
        <v>0.52020148970217572</v>
      </c>
      <c r="J83" s="23">
        <f t="shared" si="33"/>
        <v>0.20369543738680201</v>
      </c>
      <c r="K83" s="23">
        <f t="shared" si="33"/>
        <v>0</v>
      </c>
      <c r="L83" s="23">
        <f t="shared" si="33"/>
        <v>0.70146494880899946</v>
      </c>
      <c r="M83" s="23">
        <f t="shared" si="33"/>
        <v>0</v>
      </c>
      <c r="N83" s="23">
        <f t="shared" si="33"/>
        <v>0.21634536847565858</v>
      </c>
      <c r="O83" s="23">
        <f t="shared" si="33"/>
        <v>0</v>
      </c>
      <c r="P83" s="26"/>
      <c r="Q83" s="7">
        <f t="shared" ref="Q83:R86" si="34">IFERROR(Q52/(8.76*Q22),0)</f>
        <v>0.57073122663346065</v>
      </c>
      <c r="R83" s="7">
        <f t="shared" si="34"/>
        <v>0.70146494880899946</v>
      </c>
      <c r="S83" s="5"/>
      <c r="T83" s="5"/>
    </row>
    <row r="84" spans="1:58" ht="15" x14ac:dyDescent="0.25">
      <c r="B84" s="3">
        <v>2030</v>
      </c>
      <c r="C84" s="23">
        <f t="shared" ref="C84:O84" si="35">IFERROR(C53/(8.76*C23),0)</f>
        <v>0.71381496664770039</v>
      </c>
      <c r="D84" s="23">
        <f t="shared" si="35"/>
        <v>0.89742523481220582</v>
      </c>
      <c r="E84" s="23">
        <f t="shared" si="35"/>
        <v>0.23349826456948314</v>
      </c>
      <c r="F84" s="23">
        <f t="shared" si="35"/>
        <v>8.7096443417707479E-3</v>
      </c>
      <c r="G84" s="23">
        <f t="shared" si="35"/>
        <v>0.6525628018686852</v>
      </c>
      <c r="H84" s="23">
        <f t="shared" si="35"/>
        <v>0.36600570017518752</v>
      </c>
      <c r="I84" s="23">
        <f t="shared" si="35"/>
        <v>0.54946190686116425</v>
      </c>
      <c r="J84" s="23">
        <f t="shared" si="35"/>
        <v>0.20249820696282855</v>
      </c>
      <c r="K84" s="23">
        <f t="shared" si="35"/>
        <v>0.78545533198484774</v>
      </c>
      <c r="L84" s="23">
        <f t="shared" si="35"/>
        <v>0.71145362730587702</v>
      </c>
      <c r="M84" s="23">
        <f t="shared" si="35"/>
        <v>1.4088624675420974E-2</v>
      </c>
      <c r="N84" s="23">
        <f t="shared" si="35"/>
        <v>0.20176187480750565</v>
      </c>
      <c r="O84" s="23">
        <f t="shared" si="35"/>
        <v>0</v>
      </c>
      <c r="P84" s="26"/>
      <c r="Q84" s="7">
        <f t="shared" si="34"/>
        <v>0.43862337885660002</v>
      </c>
      <c r="R84" s="7">
        <f t="shared" si="34"/>
        <v>0.74259601135827713</v>
      </c>
      <c r="S84" s="5"/>
      <c r="T84" s="5"/>
    </row>
    <row r="85" spans="1:58" ht="15" x14ac:dyDescent="0.25">
      <c r="B85" s="3">
        <v>2040</v>
      </c>
      <c r="C85" s="23">
        <f t="shared" ref="C85:O85" si="36">IFERROR(C54/(8.76*C24),0)</f>
        <v>0.80786944867895638</v>
      </c>
      <c r="D85" s="23">
        <f t="shared" si="36"/>
        <v>0.86731532978749204</v>
      </c>
      <c r="E85" s="23">
        <f t="shared" si="36"/>
        <v>0.30009161913298449</v>
      </c>
      <c r="F85" s="23">
        <f t="shared" si="36"/>
        <v>8.9616743763343883E-3</v>
      </c>
      <c r="G85" s="23">
        <f t="shared" si="36"/>
        <v>0.68806509352471623</v>
      </c>
      <c r="H85" s="23">
        <f t="shared" si="36"/>
        <v>0.35182278449649373</v>
      </c>
      <c r="I85" s="23">
        <f t="shared" si="36"/>
        <v>0.55069465187186051</v>
      </c>
      <c r="J85" s="23">
        <f t="shared" si="36"/>
        <v>0.20374987873551248</v>
      </c>
      <c r="K85" s="23">
        <f t="shared" si="36"/>
        <v>0.7888392486779513</v>
      </c>
      <c r="L85" s="23">
        <f t="shared" si="36"/>
        <v>0.72658459900225436</v>
      </c>
      <c r="M85" s="23">
        <f t="shared" si="36"/>
        <v>1.4100359692555667E-2</v>
      </c>
      <c r="N85" s="23">
        <f t="shared" si="36"/>
        <v>0.18352954102646329</v>
      </c>
      <c r="O85" s="23">
        <f t="shared" si="36"/>
        <v>0</v>
      </c>
      <c r="P85" s="26"/>
      <c r="Q85" s="7">
        <f t="shared" si="34"/>
        <v>0.49565970734413572</v>
      </c>
      <c r="R85" s="7">
        <f t="shared" si="34"/>
        <v>0.7527834307407768</v>
      </c>
      <c r="S85" s="5"/>
      <c r="T85" s="5"/>
    </row>
    <row r="86" spans="1:58" ht="15" x14ac:dyDescent="0.25">
      <c r="B86" s="3">
        <v>2050</v>
      </c>
      <c r="C86" s="23">
        <f t="shared" ref="C86:O86" si="37">IFERROR(C55/(8.76*C25),0)</f>
        <v>0.78176836971798414</v>
      </c>
      <c r="D86" s="23">
        <f t="shared" si="37"/>
        <v>0.82817354601639548</v>
      </c>
      <c r="E86" s="23">
        <f t="shared" si="37"/>
        <v>0.25082520125854935</v>
      </c>
      <c r="F86" s="23">
        <f t="shared" si="37"/>
        <v>7.2236043703422254E-3</v>
      </c>
      <c r="G86" s="23">
        <f t="shared" si="37"/>
        <v>0.67535608070697939</v>
      </c>
      <c r="H86" s="23">
        <f t="shared" si="37"/>
        <v>0.34957675882172401</v>
      </c>
      <c r="I86" s="23">
        <f t="shared" si="37"/>
        <v>0</v>
      </c>
      <c r="J86" s="23">
        <f t="shared" si="37"/>
        <v>0.20234322271812163</v>
      </c>
      <c r="K86" s="23">
        <f t="shared" si="37"/>
        <v>0.78995734085010527</v>
      </c>
      <c r="L86" s="23">
        <f t="shared" si="37"/>
        <v>0.68690029471201774</v>
      </c>
      <c r="M86" s="23">
        <f t="shared" si="37"/>
        <v>1.3243402478957646E-2</v>
      </c>
      <c r="N86" s="23">
        <f t="shared" si="37"/>
        <v>0.18646274094686247</v>
      </c>
      <c r="O86" s="23">
        <f t="shared" si="37"/>
        <v>0</v>
      </c>
      <c r="P86" s="26"/>
      <c r="Q86" s="7">
        <f t="shared" si="34"/>
        <v>0.48891587570678813</v>
      </c>
      <c r="R86" s="7">
        <f t="shared" si="34"/>
        <v>0.73702531715272168</v>
      </c>
      <c r="S86" s="5"/>
      <c r="T86" s="5"/>
    </row>
    <row r="87" spans="1:58" s="11" customFormat="1" ht="15" x14ac:dyDescent="0.25">
      <c r="C87" s="12"/>
      <c r="D87" s="12"/>
      <c r="E87" s="14"/>
      <c r="F87" s="14"/>
      <c r="G87" s="14"/>
      <c r="H87" s="16"/>
      <c r="I87" s="14"/>
      <c r="J87" s="14"/>
      <c r="K87" s="16"/>
      <c r="L87" s="14"/>
      <c r="M87" s="16"/>
      <c r="N87" s="16"/>
      <c r="O87" s="20"/>
      <c r="P87" s="20"/>
      <c r="Y87" s="12"/>
    </row>
    <row r="88" spans="1:58" s="9" customFormat="1" ht="21" x14ac:dyDescent="0.35">
      <c r="B88" s="10" t="s">
        <v>57</v>
      </c>
      <c r="Y88" s="86"/>
    </row>
    <row r="89" spans="1:58" ht="30" x14ac:dyDescent="0.25">
      <c r="B89" s="43" t="s">
        <v>56</v>
      </c>
      <c r="C89" s="43" t="s">
        <v>0</v>
      </c>
      <c r="D89" s="43" t="s">
        <v>1</v>
      </c>
      <c r="E89" s="43" t="s">
        <v>28</v>
      </c>
      <c r="F89" s="2" t="s">
        <v>29</v>
      </c>
      <c r="G89" s="2" t="s">
        <v>6</v>
      </c>
      <c r="H89" s="43" t="s">
        <v>2</v>
      </c>
      <c r="I89" s="43" t="s">
        <v>3</v>
      </c>
      <c r="J89" s="43" t="s">
        <v>4</v>
      </c>
      <c r="K89" s="43" t="s">
        <v>9</v>
      </c>
      <c r="L89" s="43" t="s">
        <v>8</v>
      </c>
      <c r="M89" s="43" t="s">
        <v>25</v>
      </c>
      <c r="N89" s="43" t="s">
        <v>7</v>
      </c>
      <c r="O89" s="43" t="s">
        <v>89</v>
      </c>
      <c r="P89" s="25"/>
      <c r="Q89" s="43"/>
      <c r="R89" s="43"/>
      <c r="T89" s="43"/>
      <c r="U89" s="25"/>
      <c r="V89" s="25"/>
      <c r="W89" s="25"/>
      <c r="X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</row>
    <row r="90" spans="1:58" ht="15" x14ac:dyDescent="0.25">
      <c r="A90" s="15"/>
      <c r="B90" s="3">
        <v>2016</v>
      </c>
      <c r="C90" s="80">
        <f>Y90*(Inputs_Summary!$E72/$Y52)</f>
        <v>235642</v>
      </c>
      <c r="D90" s="80">
        <f>Z90*(Inputs_Summary!$E72/$Y52)</f>
        <v>14379</v>
      </c>
      <c r="E90" s="80">
        <f>AA90*(Inputs_Summary!$E72/$Y52)</f>
        <v>2932</v>
      </c>
      <c r="F90" s="80">
        <f>AB90*(Inputs_Summary!$E72/$Y52)</f>
        <v>25920</v>
      </c>
      <c r="G90" s="80">
        <f>AC90*(Inputs_Summary!$E72/$Y52)</f>
        <v>17154</v>
      </c>
      <c r="H90" s="44">
        <f>AD90*(Inputs_Summary!$E72/$Y52)</f>
        <v>4540.2788877644989</v>
      </c>
      <c r="I90" s="80">
        <f>AE90*(Inputs_Summary!$E72/$Y52)</f>
        <v>915.6228325511039</v>
      </c>
      <c r="J90" s="44">
        <f>AF90*(Inputs_Summary!$E72/$Y52)</f>
        <v>2664.7418684270319</v>
      </c>
      <c r="K90" s="80">
        <f>AG90*(Inputs_Summary!$E72/$Y52)</f>
        <v>0</v>
      </c>
      <c r="L90" s="80">
        <f>AH90*(Inputs_Summary!$E72/$Y52)</f>
        <v>1862</v>
      </c>
      <c r="M90" s="80">
        <f>AI90*(Inputs_Summary!$E72/$Y52)</f>
        <v>0</v>
      </c>
      <c r="N90" s="80">
        <f>AJ90*(Inputs_Summary!$E72/$Y52)</f>
        <v>12136</v>
      </c>
      <c r="O90" s="80">
        <f>AK90*(Inputs_Summary!$E72/$Y52)</f>
        <v>0</v>
      </c>
      <c r="P90" s="83"/>
      <c r="Q90" s="39"/>
      <c r="R90" s="5"/>
      <c r="T90" s="5"/>
      <c r="U90" s="24"/>
      <c r="V90" s="24"/>
      <c r="W90" s="26"/>
      <c r="X90" s="39"/>
      <c r="Y90" s="82">
        <v>235642</v>
      </c>
      <c r="Z90" s="39">
        <v>14379</v>
      </c>
      <c r="AA90" s="39">
        <v>2932</v>
      </c>
      <c r="AB90" s="39">
        <v>25920</v>
      </c>
      <c r="AC90" s="39">
        <v>17154</v>
      </c>
      <c r="AD90" s="39">
        <v>4540.2788877644989</v>
      </c>
      <c r="AE90" s="39">
        <v>915.6228325511039</v>
      </c>
      <c r="AF90" s="39">
        <v>2664.7418684270319</v>
      </c>
      <c r="AG90" s="39">
        <v>0</v>
      </c>
      <c r="AH90" s="39">
        <v>1862</v>
      </c>
      <c r="AI90" s="39">
        <v>0</v>
      </c>
      <c r="AJ90" s="39">
        <v>12136</v>
      </c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</row>
    <row r="91" spans="1:58" ht="15" x14ac:dyDescent="0.25">
      <c r="A91" s="15"/>
      <c r="B91" s="3">
        <v>2030</v>
      </c>
      <c r="C91" s="80">
        <f>Y91*(Inputs_Summary!$E73/$Y53)</f>
        <v>266518.1224672934</v>
      </c>
      <c r="D91" s="80">
        <f>Z91*(Inputs_Summary!$E73/$Y53)</f>
        <v>14666.146509595146</v>
      </c>
      <c r="E91" s="80">
        <f>AA91*(Inputs_Summary!$E73/$Y53)</f>
        <v>59821.231851154836</v>
      </c>
      <c r="F91" s="80">
        <f>AB91*(Inputs_Summary!$E73/$Y53)</f>
        <v>65779.895729662021</v>
      </c>
      <c r="G91" s="80">
        <f>AC91*(Inputs_Summary!$E73/$Y53)</f>
        <v>25845.016093374463</v>
      </c>
      <c r="H91" s="44">
        <f>AD91*(Inputs_Summary!$E73/$Y53)</f>
        <v>35608.167521835741</v>
      </c>
      <c r="I91" s="80">
        <f>AE91*(Inputs_Summary!$E73/$Y53)</f>
        <v>5052.9306494564544</v>
      </c>
      <c r="J91" s="44">
        <f>AF91*(Inputs_Summary!$E73/$Y53)</f>
        <v>13288.16723882089</v>
      </c>
      <c r="K91" s="80">
        <f>AG91*(Inputs_Summary!$E73/$Y53)</f>
        <v>2267.3929821844363</v>
      </c>
      <c r="L91" s="80">
        <f>AH91*(Inputs_Summary!$E73/$Y53)</f>
        <v>3060.9295274563624</v>
      </c>
      <c r="M91" s="80">
        <f>AI91*(Inputs_Summary!$E73/$Y53)</f>
        <v>8739.1016965165327</v>
      </c>
      <c r="N91" s="80">
        <f>AJ91*(Inputs_Summary!$E73/$Y53)</f>
        <v>22816.72560119921</v>
      </c>
      <c r="O91" s="80">
        <f>AK91*(Inputs_Summary!$E73/$Y53)</f>
        <v>0</v>
      </c>
      <c r="P91" s="83"/>
      <c r="Q91" s="39"/>
      <c r="R91" s="5"/>
      <c r="T91" s="5"/>
      <c r="U91" s="24"/>
      <c r="V91" s="24"/>
      <c r="W91" s="26"/>
      <c r="X91" s="39"/>
      <c r="Y91" s="82">
        <v>261300</v>
      </c>
      <c r="Z91" s="82">
        <v>14379</v>
      </c>
      <c r="AA91" s="82">
        <v>58650</v>
      </c>
      <c r="AB91" s="82">
        <v>64492</v>
      </c>
      <c r="AC91" s="82">
        <v>25339</v>
      </c>
      <c r="AD91" s="82">
        <v>34911</v>
      </c>
      <c r="AE91" s="82">
        <v>4954</v>
      </c>
      <c r="AF91" s="82">
        <v>13028</v>
      </c>
      <c r="AG91" s="82">
        <v>2223</v>
      </c>
      <c r="AH91" s="82">
        <v>3001</v>
      </c>
      <c r="AI91" s="82">
        <v>8568</v>
      </c>
      <c r="AJ91" s="82">
        <v>22370</v>
      </c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</row>
    <row r="92" spans="1:58" ht="15" x14ac:dyDescent="0.25">
      <c r="A92" s="15"/>
      <c r="B92" s="3">
        <v>2040</v>
      </c>
      <c r="C92" s="80">
        <f>Y92*(Inputs_Summary!$E74/$Y54)</f>
        <v>236923.7905295658</v>
      </c>
      <c r="D92" s="80">
        <f>Z92*(Inputs_Summary!$E74/$Y54)</f>
        <v>34836.417438670433</v>
      </c>
      <c r="E92" s="80">
        <f>AA92*(Inputs_Summary!$E74/$Y54)</f>
        <v>133794.33750904986</v>
      </c>
      <c r="F92" s="80">
        <f>AB92*(Inputs_Summary!$E74/$Y54)</f>
        <v>96144.093559478439</v>
      </c>
      <c r="G92" s="80">
        <f>AC92*(Inputs_Summary!$E74/$Y54)</f>
        <v>38100.134840679049</v>
      </c>
      <c r="H92" s="44">
        <f>AD92*(Inputs_Summary!$E74/$Y54)</f>
        <v>65645.909713631772</v>
      </c>
      <c r="I92" s="80">
        <f>AE92*(Inputs_Summary!$E74/$Y54)</f>
        <v>5065.289407917373</v>
      </c>
      <c r="J92" s="44">
        <f>AF92*(Inputs_Summary!$E74/$Y54)</f>
        <v>22108.923791575908</v>
      </c>
      <c r="K92" s="80">
        <f>AG92*(Inputs_Summary!$E74/$Y54)</f>
        <v>2274.5599740152356</v>
      </c>
      <c r="L92" s="80">
        <f>AH92*(Inputs_Summary!$E74/$Y54)</f>
        <v>3064.8816956708606</v>
      </c>
      <c r="M92" s="80">
        <f>AI92*(Inputs_Summary!$E74/$Y54)</f>
        <v>8772.8723765991617</v>
      </c>
      <c r="N92" s="80">
        <f>AJ92*(Inputs_Summary!$E74/$Y54)</f>
        <v>22820.916295583327</v>
      </c>
      <c r="O92" s="80">
        <f>AK92*(Inputs_Summary!$E74/$Y54)</f>
        <v>0</v>
      </c>
      <c r="P92" s="83"/>
      <c r="Q92" s="39"/>
      <c r="R92" s="5"/>
      <c r="T92" s="5"/>
      <c r="U92" s="24"/>
      <c r="V92" s="24"/>
      <c r="W92" s="26"/>
      <c r="X92" s="39"/>
      <c r="Y92" s="82">
        <v>235928</v>
      </c>
      <c r="Z92" s="82">
        <v>34690</v>
      </c>
      <c r="AA92" s="82">
        <v>133232</v>
      </c>
      <c r="AB92" s="82">
        <v>95740</v>
      </c>
      <c r="AC92" s="82">
        <v>37940</v>
      </c>
      <c r="AD92" s="82">
        <v>65370</v>
      </c>
      <c r="AE92" s="82">
        <v>5044</v>
      </c>
      <c r="AF92" s="82">
        <v>22016</v>
      </c>
      <c r="AG92" s="82">
        <v>2265</v>
      </c>
      <c r="AH92" s="82">
        <v>3052</v>
      </c>
      <c r="AI92" s="82">
        <v>8736</v>
      </c>
      <c r="AJ92" s="82">
        <v>22725</v>
      </c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</row>
    <row r="93" spans="1:58" ht="15" x14ac:dyDescent="0.25">
      <c r="A93" s="15"/>
      <c r="B93" s="3">
        <v>2050</v>
      </c>
      <c r="C93" s="80">
        <f>Y93*(Inputs_Summary!$E75/$Y55)</f>
        <v>195501.93730037619</v>
      </c>
      <c r="D93" s="80">
        <f>Z93*(Inputs_Summary!$E75/$Y55)</f>
        <v>149003.43112879418</v>
      </c>
      <c r="E93" s="80">
        <f>AA93*(Inputs_Summary!$E75/$Y55)</f>
        <v>172869.38067654741</v>
      </c>
      <c r="F93" s="80">
        <f>AB93*(Inputs_Summary!$E75/$Y55)</f>
        <v>103181.66282388693</v>
      </c>
      <c r="G93" s="80">
        <f>AC93*(Inputs_Summary!$E75/$Y55)</f>
        <v>37899.355835639864</v>
      </c>
      <c r="H93" s="44">
        <f>AD93*(Inputs_Summary!$E75/$Y55)</f>
        <v>93093.689181260386</v>
      </c>
      <c r="I93" s="80">
        <f>AE93*(Inputs_Summary!$E75/$Y55)</f>
        <v>0</v>
      </c>
      <c r="J93" s="44">
        <f>AF93*(Inputs_Summary!$E75/$Y55)</f>
        <v>28041.371302589992</v>
      </c>
      <c r="K93" s="80">
        <f>AG93*(Inputs_Summary!$E75/$Y55)</f>
        <v>1858.2305933053647</v>
      </c>
      <c r="L93" s="80">
        <f>AH93*(Inputs_Summary!$E75/$Y55)</f>
        <v>1841.9481784680777</v>
      </c>
      <c r="M93" s="80">
        <f>AI93*(Inputs_Summary!$E75/$Y55)</f>
        <v>4359.6165726835607</v>
      </c>
      <c r="N93" s="80">
        <f>AJ93*(Inputs_Summary!$E75/$Y55)</f>
        <v>22742.462923980442</v>
      </c>
      <c r="O93" s="80">
        <f>AK93*(Inputs_Summary!$E75/$Y55)</f>
        <v>0</v>
      </c>
      <c r="P93" s="83"/>
      <c r="Q93" s="39"/>
      <c r="R93" s="5"/>
      <c r="T93" s="5"/>
      <c r="U93" s="24"/>
      <c r="V93" s="24"/>
      <c r="W93" s="26"/>
      <c r="X93" s="39"/>
      <c r="Y93" s="82">
        <v>192111</v>
      </c>
      <c r="Z93" s="82">
        <v>146419</v>
      </c>
      <c r="AA93" s="82">
        <v>169871</v>
      </c>
      <c r="AB93" s="82">
        <v>101392</v>
      </c>
      <c r="AC93" s="82">
        <v>37242</v>
      </c>
      <c r="AD93" s="82">
        <v>91479</v>
      </c>
      <c r="AE93" s="82">
        <v>0</v>
      </c>
      <c r="AF93" s="82">
        <v>27555</v>
      </c>
      <c r="AG93" s="82">
        <v>1826</v>
      </c>
      <c r="AH93" s="82">
        <v>1810</v>
      </c>
      <c r="AI93" s="82">
        <v>4284</v>
      </c>
      <c r="AJ93" s="82">
        <v>22348</v>
      </c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</row>
    <row r="94" spans="1:58" s="11" customFormat="1" ht="15" x14ac:dyDescent="0.25">
      <c r="A94" s="20"/>
      <c r="C94" s="83"/>
      <c r="D94" s="83"/>
      <c r="E94" s="83"/>
      <c r="F94" s="83"/>
      <c r="G94" s="83"/>
      <c r="H94" s="56"/>
      <c r="I94" s="83"/>
      <c r="J94" s="56"/>
      <c r="K94" s="83"/>
      <c r="L94" s="83"/>
      <c r="M94" s="83"/>
      <c r="N94" s="83"/>
      <c r="O94" s="83"/>
      <c r="P94" s="83"/>
      <c r="Q94" s="12"/>
      <c r="R94" s="57"/>
      <c r="T94" s="57"/>
      <c r="U94" s="24"/>
      <c r="V94" s="24"/>
      <c r="W94" s="26"/>
      <c r="X94" s="1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</row>
    <row r="95" spans="1:58" ht="30" x14ac:dyDescent="0.25">
      <c r="B95" s="43" t="s">
        <v>54</v>
      </c>
      <c r="C95" s="43" t="s">
        <v>0</v>
      </c>
      <c r="D95" s="43" t="s">
        <v>1</v>
      </c>
      <c r="E95" s="43" t="s">
        <v>28</v>
      </c>
      <c r="F95" s="2" t="s">
        <v>29</v>
      </c>
      <c r="G95" s="2" t="s">
        <v>6</v>
      </c>
      <c r="H95" s="43" t="s">
        <v>2</v>
      </c>
      <c r="I95" s="43" t="s">
        <v>3</v>
      </c>
      <c r="J95" s="43" t="s">
        <v>4</v>
      </c>
      <c r="K95" s="43" t="s">
        <v>9</v>
      </c>
      <c r="L95" s="43" t="s">
        <v>8</v>
      </c>
      <c r="M95" s="43" t="s">
        <v>25</v>
      </c>
      <c r="N95" s="43" t="s">
        <v>7</v>
      </c>
      <c r="O95" s="43" t="s">
        <v>89</v>
      </c>
      <c r="P95" s="25"/>
      <c r="Q95" s="43"/>
      <c r="R95" s="43"/>
      <c r="T95" s="43"/>
      <c r="U95" s="25"/>
      <c r="V95" s="25"/>
      <c r="W95" s="25"/>
      <c r="X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</row>
    <row r="96" spans="1:58" ht="15" x14ac:dyDescent="0.25">
      <c r="A96" s="15"/>
      <c r="B96" s="3">
        <v>2016</v>
      </c>
      <c r="C96" s="80">
        <f t="shared" ref="C96:O96" si="38">C90-C52</f>
        <v>35696.478662478505</v>
      </c>
      <c r="D96" s="80">
        <f t="shared" si="38"/>
        <v>-364.87884401033989</v>
      </c>
      <c r="E96" s="80">
        <f t="shared" si="38"/>
        <v>2175.9232440117598</v>
      </c>
      <c r="F96" s="80">
        <f t="shared" si="38"/>
        <v>23895.686328733409</v>
      </c>
      <c r="G96" s="80">
        <f t="shared" si="38"/>
        <v>1354.875731180935</v>
      </c>
      <c r="H96" s="50">
        <f t="shared" si="38"/>
        <v>43.773699029045929</v>
      </c>
      <c r="I96" s="80">
        <f t="shared" si="38"/>
        <v>4.2298225928919919</v>
      </c>
      <c r="J96" s="50">
        <f t="shared" si="38"/>
        <v>25.655633826129815</v>
      </c>
      <c r="K96" s="80">
        <f t="shared" si="38"/>
        <v>0</v>
      </c>
      <c r="L96" s="80">
        <f t="shared" si="38"/>
        <v>239.76410078635558</v>
      </c>
      <c r="M96" s="80">
        <f t="shared" si="38"/>
        <v>0</v>
      </c>
      <c r="N96" s="80">
        <f t="shared" si="38"/>
        <v>9141.6070240021054</v>
      </c>
      <c r="O96" s="80">
        <f t="shared" si="38"/>
        <v>0</v>
      </c>
      <c r="P96" s="83"/>
      <c r="Q96" s="39"/>
      <c r="R96" s="5"/>
      <c r="T96" s="5"/>
      <c r="U96" s="24"/>
      <c r="V96" s="24"/>
      <c r="W96" s="26"/>
      <c r="X96" s="39"/>
      <c r="Y96" s="82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</row>
    <row r="97" spans="1:58" ht="15" x14ac:dyDescent="0.25">
      <c r="A97" s="15"/>
      <c r="B97" s="3">
        <v>2030</v>
      </c>
      <c r="C97" s="80">
        <f t="shared" ref="C97:O97" si="39">C91-C53</f>
        <v>29741.300930056663</v>
      </c>
      <c r="D97" s="80">
        <f t="shared" si="39"/>
        <v>43.858703658988816</v>
      </c>
      <c r="E97" s="80">
        <f t="shared" si="39"/>
        <v>43980.080071439821</v>
      </c>
      <c r="F97" s="80">
        <f t="shared" si="39"/>
        <v>65132.214873302546</v>
      </c>
      <c r="G97" s="80">
        <f t="shared" si="39"/>
        <v>7415.1808279266079</v>
      </c>
      <c r="H97" s="50">
        <f t="shared" si="39"/>
        <v>0</v>
      </c>
      <c r="I97" s="80">
        <f t="shared" si="39"/>
        <v>-1.019969852534814</v>
      </c>
      <c r="J97" s="50">
        <f t="shared" si="39"/>
        <v>0</v>
      </c>
      <c r="K97" s="80">
        <f t="shared" si="39"/>
        <v>182.57460360369487</v>
      </c>
      <c r="L97" s="80">
        <f t="shared" si="39"/>
        <v>462.04634319817796</v>
      </c>
      <c r="M97" s="80">
        <f t="shared" si="39"/>
        <v>8615.6853443598447</v>
      </c>
      <c r="N97" s="80">
        <f t="shared" si="39"/>
        <v>17669.95772530957</v>
      </c>
      <c r="O97" s="80">
        <f t="shared" si="39"/>
        <v>0</v>
      </c>
      <c r="P97" s="83"/>
      <c r="Q97" s="39"/>
      <c r="R97" s="5"/>
      <c r="T97" s="5"/>
      <c r="U97" s="24"/>
      <c r="V97" s="24"/>
      <c r="W97" s="26"/>
      <c r="X97" s="39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</row>
    <row r="98" spans="1:58" ht="15" x14ac:dyDescent="0.25">
      <c r="A98" s="15"/>
      <c r="B98" s="3">
        <v>2040</v>
      </c>
      <c r="C98" s="80">
        <f t="shared" ref="C98:O98" si="40">C92-C54</f>
        <v>14382.449425097642</v>
      </c>
      <c r="D98" s="80">
        <f t="shared" si="40"/>
        <v>54.227919910299534</v>
      </c>
      <c r="E98" s="80">
        <f t="shared" si="40"/>
        <v>88419.627634478369</v>
      </c>
      <c r="F98" s="80">
        <f t="shared" si="40"/>
        <v>95174.016325527569</v>
      </c>
      <c r="G98" s="80">
        <f t="shared" si="40"/>
        <v>9626.4600048167995</v>
      </c>
      <c r="H98" s="50">
        <f t="shared" si="40"/>
        <v>0</v>
      </c>
      <c r="I98" s="80">
        <f t="shared" si="40"/>
        <v>0</v>
      </c>
      <c r="J98" s="50">
        <f t="shared" si="40"/>
        <v>0</v>
      </c>
      <c r="K98" s="80">
        <f t="shared" si="40"/>
        <v>180.75973303432329</v>
      </c>
      <c r="L98" s="80">
        <f t="shared" si="40"/>
        <v>410.72628228354552</v>
      </c>
      <c r="M98" s="80">
        <f t="shared" si="40"/>
        <v>8649.3532256923736</v>
      </c>
      <c r="N98" s="80">
        <f t="shared" si="40"/>
        <v>18139.239209994354</v>
      </c>
      <c r="O98" s="80">
        <f t="shared" si="40"/>
        <v>0</v>
      </c>
      <c r="P98" s="83"/>
      <c r="Q98" s="39"/>
      <c r="R98" s="5"/>
      <c r="T98" s="5"/>
      <c r="U98" s="24"/>
      <c r="V98" s="24"/>
      <c r="W98" s="26"/>
      <c r="X98" s="39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</row>
    <row r="99" spans="1:58" ht="15" x14ac:dyDescent="0.25">
      <c r="A99" s="15"/>
      <c r="B99" s="3">
        <v>2050</v>
      </c>
      <c r="C99" s="80">
        <f t="shared" ref="C99:O99" si="41">C93-C55</f>
        <v>22883.916402879375</v>
      </c>
      <c r="D99" s="80">
        <f t="shared" si="41"/>
        <v>1114.3277654268022</v>
      </c>
      <c r="E99" s="80">
        <f t="shared" si="41"/>
        <v>123685.29370774041</v>
      </c>
      <c r="F99" s="80">
        <f t="shared" si="41"/>
        <v>102338.03020513001</v>
      </c>
      <c r="G99" s="80">
        <f t="shared" si="41"/>
        <v>9951.6084183642743</v>
      </c>
      <c r="H99" s="50">
        <f t="shared" si="41"/>
        <v>0</v>
      </c>
      <c r="I99" s="80">
        <f t="shared" si="41"/>
        <v>0</v>
      </c>
      <c r="J99" s="50">
        <f t="shared" si="41"/>
        <v>0</v>
      </c>
      <c r="K99" s="80">
        <f t="shared" si="41"/>
        <v>128.22401684363422</v>
      </c>
      <c r="L99" s="80">
        <f t="shared" si="41"/>
        <v>253.39508090527693</v>
      </c>
      <c r="M99" s="80">
        <f t="shared" si="41"/>
        <v>4301.6104698257259</v>
      </c>
      <c r="N99" s="80">
        <f t="shared" si="41"/>
        <v>17985.962489638012</v>
      </c>
      <c r="O99" s="80">
        <f t="shared" si="41"/>
        <v>0</v>
      </c>
      <c r="P99" s="83"/>
      <c r="Q99" s="39"/>
      <c r="R99" s="5"/>
      <c r="T99" s="5"/>
      <c r="U99" s="24"/>
      <c r="V99" s="24"/>
      <c r="W99" s="26"/>
      <c r="X99" s="39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</row>
    <row r="100" spans="1:58" s="11" customFormat="1" ht="15" x14ac:dyDescent="0.25">
      <c r="A100" s="20"/>
      <c r="C100" s="83"/>
      <c r="D100" s="83"/>
      <c r="E100" s="83"/>
      <c r="F100" s="83"/>
      <c r="G100" s="83"/>
      <c r="H100" s="56"/>
      <c r="I100" s="83"/>
      <c r="J100" s="56"/>
      <c r="K100" s="83"/>
      <c r="L100" s="83"/>
      <c r="M100" s="83"/>
      <c r="N100" s="83"/>
      <c r="O100" s="83"/>
      <c r="P100" s="83"/>
      <c r="Q100" s="12"/>
      <c r="R100" s="57"/>
      <c r="T100" s="57"/>
      <c r="U100" s="24"/>
      <c r="V100" s="24"/>
      <c r="W100" s="26"/>
      <c r="X100" s="1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</row>
    <row r="101" spans="1:58" s="11" customFormat="1" ht="30" x14ac:dyDescent="0.25">
      <c r="A101" s="20"/>
      <c r="B101" s="43" t="s">
        <v>55</v>
      </c>
      <c r="C101" s="43" t="s">
        <v>0</v>
      </c>
      <c r="D101" s="43" t="s">
        <v>1</v>
      </c>
      <c r="E101" s="43" t="s">
        <v>28</v>
      </c>
      <c r="F101" s="2" t="s">
        <v>29</v>
      </c>
      <c r="G101" s="2" t="s">
        <v>6</v>
      </c>
      <c r="H101" s="43" t="s">
        <v>2</v>
      </c>
      <c r="I101" s="43" t="s">
        <v>3</v>
      </c>
      <c r="J101" s="43" t="s">
        <v>4</v>
      </c>
      <c r="K101" s="43" t="s">
        <v>9</v>
      </c>
      <c r="L101" s="43" t="s">
        <v>8</v>
      </c>
      <c r="M101" s="43" t="s">
        <v>25</v>
      </c>
      <c r="N101" s="43" t="s">
        <v>7</v>
      </c>
      <c r="O101" s="43" t="s">
        <v>89</v>
      </c>
      <c r="P101" s="25"/>
      <c r="Q101" s="12"/>
      <c r="R101" s="57"/>
      <c r="T101" s="57"/>
      <c r="U101" s="24"/>
      <c r="V101" s="24"/>
      <c r="W101" s="26"/>
      <c r="Y101" s="82"/>
    </row>
    <row r="102" spans="1:58" ht="15" x14ac:dyDescent="0.25">
      <c r="B102" s="3">
        <v>2016</v>
      </c>
      <c r="C102" s="81">
        <f t="shared" ref="C102:O102" si="42">IFERROR(C96/C90,"")</f>
        <v>0.15148606217261143</v>
      </c>
      <c r="D102" s="81">
        <f t="shared" si="42"/>
        <v>-2.537581500871687E-2</v>
      </c>
      <c r="E102" s="81">
        <f t="shared" si="42"/>
        <v>0.74212934652515683</v>
      </c>
      <c r="F102" s="81">
        <f t="shared" si="42"/>
        <v>0.92190147873199879</v>
      </c>
      <c r="G102" s="81">
        <f t="shared" si="42"/>
        <v>7.8983078651097993E-2</v>
      </c>
      <c r="H102" s="23">
        <f t="shared" si="42"/>
        <v>9.6411916781171166E-3</v>
      </c>
      <c r="I102" s="81">
        <f t="shared" si="42"/>
        <v>4.6196124020923338E-3</v>
      </c>
      <c r="J102" s="23">
        <f t="shared" si="42"/>
        <v>9.6278120331685473E-3</v>
      </c>
      <c r="K102" s="81" t="str">
        <f t="shared" si="42"/>
        <v/>
      </c>
      <c r="L102" s="81">
        <f t="shared" si="42"/>
        <v>0.1287669714212436</v>
      </c>
      <c r="M102" s="81" t="str">
        <f t="shared" si="42"/>
        <v/>
      </c>
      <c r="N102" s="81">
        <f t="shared" si="42"/>
        <v>0.75326359789074704</v>
      </c>
      <c r="O102" s="81" t="str">
        <f t="shared" si="42"/>
        <v/>
      </c>
      <c r="P102" s="98"/>
      <c r="Q102" s="7"/>
      <c r="R102" s="7"/>
      <c r="T102" s="8"/>
    </row>
    <row r="103" spans="1:58" ht="15" x14ac:dyDescent="0.25">
      <c r="B103" s="3">
        <v>2030</v>
      </c>
      <c r="C103" s="81">
        <f t="shared" ref="C103:O103" si="43">IFERROR(C97/C91,"")</f>
        <v>0.111592039800995</v>
      </c>
      <c r="D103" s="81">
        <f t="shared" si="43"/>
        <v>2.9904722164267755E-3</v>
      </c>
      <c r="E103" s="81">
        <f t="shared" si="43"/>
        <v>0.73519181585677751</v>
      </c>
      <c r="F103" s="81">
        <f t="shared" si="43"/>
        <v>0.99015381752775544</v>
      </c>
      <c r="G103" s="81">
        <f t="shared" si="43"/>
        <v>0.28690950708394169</v>
      </c>
      <c r="H103" s="23">
        <f t="shared" si="43"/>
        <v>0</v>
      </c>
      <c r="I103" s="81">
        <f t="shared" si="43"/>
        <v>-2.0185708518373046E-4</v>
      </c>
      <c r="J103" s="23">
        <f t="shared" si="43"/>
        <v>0</v>
      </c>
      <c r="K103" s="81">
        <f t="shared" si="43"/>
        <v>8.052181736392254E-2</v>
      </c>
      <c r="L103" s="81">
        <f t="shared" si="43"/>
        <v>0.1509496834388537</v>
      </c>
      <c r="M103" s="81">
        <f t="shared" si="43"/>
        <v>0.98587768440709611</v>
      </c>
      <c r="N103" s="81">
        <f t="shared" si="43"/>
        <v>0.7744300402324541</v>
      </c>
      <c r="O103" s="81" t="str">
        <f t="shared" si="43"/>
        <v/>
      </c>
      <c r="P103" s="98"/>
      <c r="Q103" s="7"/>
      <c r="R103" s="7"/>
      <c r="T103" s="8"/>
    </row>
    <row r="104" spans="1:58" ht="15" x14ac:dyDescent="0.25">
      <c r="B104" s="3">
        <v>2040</v>
      </c>
      <c r="C104" s="81">
        <f t="shared" ref="C104:O104" si="44">IFERROR(C98/C92,"")</f>
        <v>6.0704960835509053E-2</v>
      </c>
      <c r="D104" s="81">
        <f t="shared" si="44"/>
        <v>1.5566445661574664E-3</v>
      </c>
      <c r="E104" s="81">
        <f t="shared" si="44"/>
        <v>0.66086225531403864</v>
      </c>
      <c r="F104" s="81">
        <f t="shared" si="44"/>
        <v>0.98991017338625442</v>
      </c>
      <c r="G104" s="81">
        <f t="shared" si="44"/>
        <v>0.25266209804955192</v>
      </c>
      <c r="H104" s="23">
        <f t="shared" si="44"/>
        <v>0</v>
      </c>
      <c r="I104" s="81">
        <f t="shared" si="44"/>
        <v>0</v>
      </c>
      <c r="J104" s="23">
        <f t="shared" si="44"/>
        <v>0</v>
      </c>
      <c r="K104" s="81">
        <f t="shared" si="44"/>
        <v>7.9470198675496651E-2</v>
      </c>
      <c r="L104" s="81">
        <f t="shared" si="44"/>
        <v>0.13401048492791601</v>
      </c>
      <c r="M104" s="81">
        <f t="shared" si="44"/>
        <v>0.98592032967032961</v>
      </c>
      <c r="N104" s="81">
        <f t="shared" si="44"/>
        <v>0.79485148514851489</v>
      </c>
      <c r="O104" s="81" t="str">
        <f t="shared" si="44"/>
        <v/>
      </c>
      <c r="P104" s="98"/>
      <c r="Q104" s="7"/>
      <c r="R104" s="7"/>
      <c r="T104" s="8"/>
    </row>
    <row r="105" spans="1:58" ht="15" x14ac:dyDescent="0.25">
      <c r="B105" s="3">
        <v>2050</v>
      </c>
      <c r="C105" s="81">
        <f t="shared" ref="C105:O105" si="45">IFERROR(C99/C93,"")</f>
        <v>0.11705212090926601</v>
      </c>
      <c r="D105" s="81">
        <f t="shared" si="45"/>
        <v>7.4785376214834276E-3</v>
      </c>
      <c r="E105" s="81">
        <f t="shared" si="45"/>
        <v>0.71548410264259343</v>
      </c>
      <c r="F105" s="81">
        <f t="shared" si="45"/>
        <v>0.99182381252958818</v>
      </c>
      <c r="G105" s="81">
        <f t="shared" si="45"/>
        <v>0.26257988292787715</v>
      </c>
      <c r="H105" s="23">
        <f t="shared" si="45"/>
        <v>0</v>
      </c>
      <c r="I105" s="81" t="str">
        <f t="shared" si="45"/>
        <v/>
      </c>
      <c r="J105" s="23">
        <f t="shared" si="45"/>
        <v>0</v>
      </c>
      <c r="K105" s="81">
        <f t="shared" si="45"/>
        <v>6.9003285870755784E-2</v>
      </c>
      <c r="L105" s="81">
        <f t="shared" si="45"/>
        <v>0.13756906077348063</v>
      </c>
      <c r="M105" s="81">
        <f t="shared" si="45"/>
        <v>0.9866946778711484</v>
      </c>
      <c r="N105" s="81">
        <f t="shared" si="45"/>
        <v>0.79085376767495963</v>
      </c>
      <c r="O105" s="81" t="str">
        <f t="shared" si="45"/>
        <v/>
      </c>
      <c r="P105" s="98"/>
      <c r="Q105" s="7"/>
      <c r="R105" s="7"/>
      <c r="T105" s="8"/>
    </row>
    <row r="106" spans="1:58" ht="15" x14ac:dyDescent="0.25">
      <c r="X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</row>
    <row r="107" spans="1:58" s="9" customFormat="1" ht="21" x14ac:dyDescent="0.35">
      <c r="B107" s="10" t="s">
        <v>17</v>
      </c>
      <c r="Y107" s="86"/>
    </row>
    <row r="108" spans="1:58" s="32" customFormat="1" ht="21" x14ac:dyDescent="0.35">
      <c r="B108" s="31"/>
      <c r="P108" s="58"/>
      <c r="Y108" s="87"/>
    </row>
    <row r="109" spans="1:58" ht="30" x14ac:dyDescent="0.25">
      <c r="B109" s="43" t="s">
        <v>40</v>
      </c>
      <c r="C109" s="43" t="s">
        <v>0</v>
      </c>
      <c r="D109" s="43" t="s">
        <v>1</v>
      </c>
      <c r="E109" s="43" t="s">
        <v>28</v>
      </c>
      <c r="F109" s="2" t="s">
        <v>29</v>
      </c>
      <c r="G109" s="2" t="s">
        <v>6</v>
      </c>
      <c r="H109" s="43" t="s">
        <v>2</v>
      </c>
      <c r="I109" s="43" t="s">
        <v>3</v>
      </c>
      <c r="J109" s="43" t="s">
        <v>4</v>
      </c>
      <c r="K109" s="43" t="s">
        <v>9</v>
      </c>
      <c r="L109" s="43" t="s">
        <v>8</v>
      </c>
      <c r="M109" s="43" t="s">
        <v>25</v>
      </c>
      <c r="N109" s="43" t="s">
        <v>7</v>
      </c>
      <c r="O109" s="43" t="s">
        <v>89</v>
      </c>
      <c r="P109" s="25"/>
      <c r="Q109" s="43" t="s">
        <v>5</v>
      </c>
      <c r="R109" s="43" t="s">
        <v>91</v>
      </c>
      <c r="T109" s="43" t="s">
        <v>10</v>
      </c>
    </row>
    <row r="110" spans="1:58" ht="15" x14ac:dyDescent="0.25">
      <c r="B110" s="3">
        <v>2016</v>
      </c>
      <c r="C110" s="51">
        <f>Inputs_Summary!E$5*C34/1000000</f>
        <v>210.12155916232655</v>
      </c>
      <c r="D110" s="51">
        <f>Inputs_Summary!F$5*D34/1000000</f>
        <v>0</v>
      </c>
      <c r="E110" s="51">
        <f>Inputs_Summary!G$5*E34/1000000</f>
        <v>0.27748016944768411</v>
      </c>
      <c r="F110" s="51">
        <f>Inputs_Summary!H$5*F34/1000000</f>
        <v>1.1619560473070238</v>
      </c>
      <c r="G110" s="51">
        <f>Inputs_Summary!I$5*G34/1000000</f>
        <v>0</v>
      </c>
      <c r="H110" s="51">
        <f>Inputs_Summary!J$5*H34/1000000</f>
        <v>0</v>
      </c>
      <c r="I110" s="51">
        <f>Inputs_Summary!K$5*I34/1000000</f>
        <v>0</v>
      </c>
      <c r="J110" s="51">
        <f>Inputs_Summary!L$5*J34/1000000</f>
        <v>0</v>
      </c>
      <c r="K110" s="51">
        <f>Inputs_Summary!M$5*K34/1000000</f>
        <v>0</v>
      </c>
      <c r="L110" s="51">
        <f>Inputs_Summary!N$5*L34/1000000</f>
        <v>0</v>
      </c>
      <c r="M110" s="51">
        <f>Inputs_Summary!O$5*M34/1000000</f>
        <v>0</v>
      </c>
      <c r="N110" s="51">
        <f>Inputs_Summary!P$5*N34/1000000</f>
        <v>5.9887859519957903E-4</v>
      </c>
      <c r="O110" s="51">
        <f>Inputs_Summary!R$5*O34/1000000</f>
        <v>0</v>
      </c>
      <c r="P110" s="97"/>
      <c r="Q110" s="39">
        <f>G110+N110</f>
        <v>5.9887859519957903E-4</v>
      </c>
      <c r="R110" s="5">
        <f>SUM(K110:L110)</f>
        <v>0</v>
      </c>
      <c r="T110" s="5">
        <f>SUM(C110:O110)</f>
        <v>211.56159425767646</v>
      </c>
    </row>
    <row r="111" spans="1:58" ht="15" x14ac:dyDescent="0.25">
      <c r="B111" s="3">
        <v>2030</v>
      </c>
      <c r="C111" s="51">
        <f>Inputs_Summary!E$5*C35/1000000</f>
        <v>142.69522337398604</v>
      </c>
      <c r="D111" s="51">
        <f>Inputs_Summary!F$5*D35/1000000</f>
        <v>0</v>
      </c>
      <c r="E111" s="51">
        <f>Inputs_Summary!G$5*E35/1000000</f>
        <v>0.81678573809059984</v>
      </c>
      <c r="F111" s="51">
        <f>Inputs_Summary!H$5*F35/1000000</f>
        <v>5.9717194926196308E-2</v>
      </c>
      <c r="G111" s="51">
        <f>Inputs_Summary!I$5*G35/1000000</f>
        <v>0</v>
      </c>
      <c r="H111" s="51">
        <f>Inputs_Summary!J$5*H35/1000000</f>
        <v>0</v>
      </c>
      <c r="I111" s="51">
        <f>Inputs_Summary!K$5*I35/1000000</f>
        <v>0</v>
      </c>
      <c r="J111" s="51">
        <f>Inputs_Summary!L$5*J35/1000000</f>
        <v>0</v>
      </c>
      <c r="K111" s="51">
        <f>Inputs_Summary!M$5*K35/1000000</f>
        <v>0</v>
      </c>
      <c r="L111" s="51">
        <f>Inputs_Summary!N$5*L35/1000000</f>
        <v>0</v>
      </c>
      <c r="M111" s="51">
        <f>Inputs_Summary!O$5*M35/1000000</f>
        <v>0</v>
      </c>
      <c r="N111" s="51">
        <f>Inputs_Summary!P$5*N35/1000000</f>
        <v>4.5123466276131112E-4</v>
      </c>
      <c r="O111" s="51">
        <f>Inputs_Summary!R$5*O35/1000000</f>
        <v>0</v>
      </c>
      <c r="P111" s="97"/>
      <c r="Q111" s="39">
        <f>G111+N111</f>
        <v>4.5123466276131112E-4</v>
      </c>
      <c r="R111" s="5">
        <f>SUM(K111:L111)</f>
        <v>0</v>
      </c>
      <c r="T111" s="5">
        <f>SUM(C111:O111)</f>
        <v>143.57217754166561</v>
      </c>
    </row>
    <row r="112" spans="1:58" ht="15" x14ac:dyDescent="0.25">
      <c r="B112" s="3">
        <v>2040</v>
      </c>
      <c r="C112" s="51">
        <f>Inputs_Summary!E$5*C36/1000000</f>
        <v>46.83568811425323</v>
      </c>
      <c r="D112" s="51">
        <f>Inputs_Summary!F$5*D36/1000000</f>
        <v>0</v>
      </c>
      <c r="E112" s="51">
        <f>Inputs_Summary!G$5*E36/1000000</f>
        <v>0.8189159029801768</v>
      </c>
      <c r="F112" s="51">
        <f>Inputs_Summary!H$5*F36/1000000</f>
        <v>4.9572352563924102E-2</v>
      </c>
      <c r="G112" s="51">
        <f>Inputs_Summary!I$5*G36/1000000</f>
        <v>0</v>
      </c>
      <c r="H112" s="51">
        <f>Inputs_Summary!J$5*H36/1000000</f>
        <v>0</v>
      </c>
      <c r="I112" s="51">
        <f>Inputs_Summary!K$5*I36/1000000</f>
        <v>0</v>
      </c>
      <c r="J112" s="51">
        <f>Inputs_Summary!L$5*J36/1000000</f>
        <v>0</v>
      </c>
      <c r="K112" s="51">
        <f>Inputs_Summary!M$5*K36/1000000</f>
        <v>0</v>
      </c>
      <c r="L112" s="51">
        <f>Inputs_Summary!N$5*L36/1000000</f>
        <v>0</v>
      </c>
      <c r="M112" s="51">
        <f>Inputs_Summary!O$5*M36/1000000</f>
        <v>0</v>
      </c>
      <c r="N112" s="51">
        <f>Inputs_Summary!P$5*N36/1000000</f>
        <v>4.1474316523986419E-4</v>
      </c>
      <c r="O112" s="51">
        <f>Inputs_Summary!R$5*O36/1000000</f>
        <v>0</v>
      </c>
      <c r="P112" s="97"/>
      <c r="Q112" s="39">
        <f>G112+N112</f>
        <v>4.1474316523986419E-4</v>
      </c>
      <c r="R112" s="5">
        <f>SUM(K112:L112)</f>
        <v>0</v>
      </c>
      <c r="T112" s="5">
        <f>SUM(C112:O112)</f>
        <v>47.704591112962568</v>
      </c>
    </row>
    <row r="113" spans="2:20" ht="15" x14ac:dyDescent="0.25">
      <c r="B113" s="3">
        <v>2050</v>
      </c>
      <c r="C113" s="51">
        <f>Inputs_Summary!E$5*C37/1000000</f>
        <v>0</v>
      </c>
      <c r="D113" s="51">
        <f>Inputs_Summary!F$5*D37/1000000</f>
        <v>0</v>
      </c>
      <c r="E113" s="51">
        <f>Inputs_Summary!G$5*E37/1000000</f>
        <v>0.81380832302965334</v>
      </c>
      <c r="F113" s="51">
        <f>Inputs_Summary!H$5*F37/1000000</f>
        <v>0</v>
      </c>
      <c r="G113" s="51">
        <f>Inputs_Summary!I$5*G37/1000000</f>
        <v>0</v>
      </c>
      <c r="H113" s="51">
        <f>Inputs_Summary!J$5*H37/1000000</f>
        <v>0</v>
      </c>
      <c r="I113" s="51">
        <f>Inputs_Summary!K$5*I37/1000000</f>
        <v>0</v>
      </c>
      <c r="J113" s="51">
        <f>Inputs_Summary!L$5*J37/1000000</f>
        <v>0</v>
      </c>
      <c r="K113" s="51">
        <f>Inputs_Summary!M$5*K37/1000000</f>
        <v>0</v>
      </c>
      <c r="L113" s="51">
        <f>Inputs_Summary!N$5*L37/1000000</f>
        <v>0</v>
      </c>
      <c r="M113" s="51">
        <f>Inputs_Summary!O$5*M37/1000000</f>
        <v>0</v>
      </c>
      <c r="N113" s="51">
        <f>Inputs_Summary!P$5*N37/1000000</f>
        <v>4.1072391427056148E-4</v>
      </c>
      <c r="O113" s="51">
        <f>Inputs_Summary!R$5*O37/1000000</f>
        <v>0</v>
      </c>
      <c r="P113" s="97"/>
      <c r="Q113" s="39">
        <f>G113+N113</f>
        <v>4.1072391427056148E-4</v>
      </c>
      <c r="R113" s="5">
        <f>SUM(K113:L113)</f>
        <v>0</v>
      </c>
      <c r="T113" s="5">
        <f>SUM(C113:O113)</f>
        <v>0.81421904694392389</v>
      </c>
    </row>
    <row r="114" spans="2:20" ht="15" x14ac:dyDescent="0.25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28"/>
      <c r="Q114" s="5"/>
      <c r="R114" s="5"/>
      <c r="S114" s="5"/>
      <c r="T114" s="5"/>
    </row>
    <row r="115" spans="2:20" ht="30" x14ac:dyDescent="0.25">
      <c r="B115" s="43" t="s">
        <v>41</v>
      </c>
      <c r="C115" s="43" t="s">
        <v>0</v>
      </c>
      <c r="D115" s="43" t="s">
        <v>1</v>
      </c>
      <c r="E115" s="43" t="s">
        <v>28</v>
      </c>
      <c r="F115" s="2" t="s">
        <v>29</v>
      </c>
      <c r="G115" s="2" t="s">
        <v>6</v>
      </c>
      <c r="H115" s="43" t="s">
        <v>2</v>
      </c>
      <c r="I115" s="43" t="s">
        <v>3</v>
      </c>
      <c r="J115" s="43" t="s">
        <v>4</v>
      </c>
      <c r="K115" s="43" t="s">
        <v>9</v>
      </c>
      <c r="L115" s="43" t="s">
        <v>8</v>
      </c>
      <c r="M115" s="43" t="s">
        <v>25</v>
      </c>
      <c r="N115" s="43" t="s">
        <v>7</v>
      </c>
      <c r="O115" s="43" t="s">
        <v>89</v>
      </c>
      <c r="P115" s="25"/>
      <c r="Q115" s="43" t="s">
        <v>5</v>
      </c>
      <c r="R115" s="43" t="s">
        <v>91</v>
      </c>
      <c r="T115" s="43" t="s">
        <v>10</v>
      </c>
    </row>
    <row r="116" spans="2:20" ht="15" x14ac:dyDescent="0.25">
      <c r="B116" s="3">
        <v>2016</v>
      </c>
      <c r="C116" s="51">
        <f>Inputs_Summary!E$8*C40/1000000</f>
        <v>5.0120134326513615</v>
      </c>
      <c r="D116" s="51">
        <f>Inputs_Summary!F$8*D40/1000000</f>
        <v>0</v>
      </c>
      <c r="E116" s="51">
        <f>Inputs_Summary!G$8*E40/1000000</f>
        <v>0</v>
      </c>
      <c r="F116" s="51">
        <f>Inputs_Summary!H$8*F40/1000000</f>
        <v>0</v>
      </c>
      <c r="G116" s="51">
        <f>Inputs_Summary!I$8*G40/1000000</f>
        <v>0</v>
      </c>
      <c r="H116" s="51">
        <f>Inputs_Summary!J$8*H40/1000000</f>
        <v>0</v>
      </c>
      <c r="I116" s="51">
        <f>Inputs_Summary!K$8*I40/1000000</f>
        <v>0</v>
      </c>
      <c r="J116" s="51">
        <f>Inputs_Summary!L$8*J40/1000000</f>
        <v>0</v>
      </c>
      <c r="K116" s="51">
        <f>Inputs_Summary!M$8*K40/1000000</f>
        <v>0</v>
      </c>
      <c r="L116" s="51">
        <f>Inputs_Summary!N$8*L40/1000000</f>
        <v>0</v>
      </c>
      <c r="M116" s="51">
        <f>Inputs_Summary!O$8*M40/1000000</f>
        <v>0</v>
      </c>
      <c r="N116" s="51">
        <f>Inputs_Summary!P$8*N40/1000000</f>
        <v>0</v>
      </c>
      <c r="O116" s="51">
        <f>Inputs_Summary!R$8*O40/1000000</f>
        <v>0</v>
      </c>
      <c r="P116" s="97"/>
      <c r="Q116" s="39">
        <f>G116+N116</f>
        <v>0</v>
      </c>
      <c r="R116" s="5">
        <f>SUM(K116:L116)</f>
        <v>0</v>
      </c>
      <c r="T116" s="5">
        <f>SUM(C116:O116)</f>
        <v>5.0120134326513615</v>
      </c>
    </row>
    <row r="117" spans="2:20" ht="15" x14ac:dyDescent="0.25">
      <c r="B117" s="3">
        <v>2030</v>
      </c>
      <c r="C117" s="51">
        <f>Inputs_Summary!E$8*C41/1000000</f>
        <v>69.241606920873252</v>
      </c>
      <c r="D117" s="51">
        <f>Inputs_Summary!F$8*D41/1000000</f>
        <v>0</v>
      </c>
      <c r="E117" s="51">
        <f>Inputs_Summary!G$8*E41/1000000</f>
        <v>0</v>
      </c>
      <c r="F117" s="51">
        <f>Inputs_Summary!H$8*F41/1000000</f>
        <v>0</v>
      </c>
      <c r="G117" s="51">
        <f>Inputs_Summary!I$8*G41/1000000</f>
        <v>0</v>
      </c>
      <c r="H117" s="51">
        <f>Inputs_Summary!J$8*H41/1000000</f>
        <v>0</v>
      </c>
      <c r="I117" s="51">
        <f>Inputs_Summary!K$8*I41/1000000</f>
        <v>0</v>
      </c>
      <c r="J117" s="51">
        <f>Inputs_Summary!L$8*J41/1000000</f>
        <v>0</v>
      </c>
      <c r="K117" s="51">
        <f>Inputs_Summary!M$8*K41/1000000</f>
        <v>0</v>
      </c>
      <c r="L117" s="51">
        <f>Inputs_Summary!N$8*L41/1000000</f>
        <v>0</v>
      </c>
      <c r="M117" s="51">
        <f>Inputs_Summary!O$8*M41/1000000</f>
        <v>0</v>
      </c>
      <c r="N117" s="51">
        <f>Inputs_Summary!P$8*N41/1000000</f>
        <v>5.7811891241661662E-4</v>
      </c>
      <c r="O117" s="51">
        <f>Inputs_Summary!R$8*O41/1000000</f>
        <v>0</v>
      </c>
      <c r="P117" s="97"/>
      <c r="Q117" s="39">
        <f>G117+N117</f>
        <v>5.7811891241661662E-4</v>
      </c>
      <c r="R117" s="5">
        <f>SUM(K117:L117)</f>
        <v>0</v>
      </c>
      <c r="T117" s="5">
        <f>SUM(C117:O117)</f>
        <v>69.242185039785667</v>
      </c>
    </row>
    <row r="118" spans="2:20" ht="15" x14ac:dyDescent="0.25">
      <c r="B118" s="3">
        <v>2040</v>
      </c>
      <c r="C118" s="51">
        <f>Inputs_Summary!E$8*C42/1000000</f>
        <v>72.263301370071687</v>
      </c>
      <c r="D118" s="51">
        <f>Inputs_Summary!F$8*D42/1000000</f>
        <v>0</v>
      </c>
      <c r="E118" s="51">
        <f>Inputs_Summary!G$8*E42/1000000</f>
        <v>0</v>
      </c>
      <c r="F118" s="51">
        <f>Inputs_Summary!H$8*F42/1000000</f>
        <v>0</v>
      </c>
      <c r="G118" s="51">
        <f>Inputs_Summary!I$8*G42/1000000</f>
        <v>0</v>
      </c>
      <c r="H118" s="51">
        <f>Inputs_Summary!J$8*H42/1000000</f>
        <v>0</v>
      </c>
      <c r="I118" s="51">
        <f>Inputs_Summary!K$8*I42/1000000</f>
        <v>0</v>
      </c>
      <c r="J118" s="51">
        <f>Inputs_Summary!L$8*J42/1000000</f>
        <v>0</v>
      </c>
      <c r="K118" s="51">
        <f>Inputs_Summary!M$8*K42/1000000</f>
        <v>0</v>
      </c>
      <c r="L118" s="51">
        <f>Inputs_Summary!N$8*L42/1000000</f>
        <v>0</v>
      </c>
      <c r="M118" s="51">
        <f>Inputs_Summary!O$8*M42/1000000</f>
        <v>0</v>
      </c>
      <c r="N118" s="51">
        <f>Inputs_Summary!P$8*N42/1000000</f>
        <v>5.2159225187793092E-4</v>
      </c>
      <c r="O118" s="51">
        <f>Inputs_Summary!R$8*O42/1000000</f>
        <v>0</v>
      </c>
      <c r="P118" s="97"/>
      <c r="Q118" s="39">
        <f>G118+N118</f>
        <v>5.2159225187793092E-4</v>
      </c>
      <c r="R118" s="5">
        <f>SUM(K118:L118)</f>
        <v>0</v>
      </c>
      <c r="T118" s="5">
        <f>SUM(C118:O118)</f>
        <v>72.263822962323559</v>
      </c>
    </row>
    <row r="119" spans="2:20" ht="15" x14ac:dyDescent="0.25">
      <c r="B119" s="3">
        <v>2050</v>
      </c>
      <c r="C119" s="51">
        <f>Inputs_Summary!E$8*C43/1000000</f>
        <v>70.279690921040924</v>
      </c>
      <c r="D119" s="51">
        <f>Inputs_Summary!F$8*D43/1000000</f>
        <v>0</v>
      </c>
      <c r="E119" s="51">
        <f>Inputs_Summary!G$8*E43/1000000</f>
        <v>0</v>
      </c>
      <c r="F119" s="51">
        <f>Inputs_Summary!H$8*F43/1000000</f>
        <v>0</v>
      </c>
      <c r="G119" s="51">
        <f>Inputs_Summary!I$8*G43/1000000</f>
        <v>0</v>
      </c>
      <c r="H119" s="51">
        <f>Inputs_Summary!J$8*H43/1000000</f>
        <v>0</v>
      </c>
      <c r="I119" s="51">
        <f>Inputs_Summary!K$8*I43/1000000</f>
        <v>0</v>
      </c>
      <c r="J119" s="51">
        <f>Inputs_Summary!L$8*J43/1000000</f>
        <v>0</v>
      </c>
      <c r="K119" s="51">
        <f>Inputs_Summary!M$8*K43/1000000</f>
        <v>0</v>
      </c>
      <c r="L119" s="51">
        <f>Inputs_Summary!N$8*L43/1000000</f>
        <v>0</v>
      </c>
      <c r="M119" s="51">
        <f>Inputs_Summary!O$8*M43/1000000</f>
        <v>0</v>
      </c>
      <c r="N119" s="51">
        <f>Inputs_Summary!P$8*N43/1000000</f>
        <v>5.405761725979242E-4</v>
      </c>
      <c r="O119" s="51">
        <f>Inputs_Summary!R$8*O43/1000000</f>
        <v>0</v>
      </c>
      <c r="P119" s="97"/>
      <c r="Q119" s="39">
        <f>G119+N119</f>
        <v>5.405761725979242E-4</v>
      </c>
      <c r="R119" s="5">
        <f>SUM(K119:L119)</f>
        <v>0</v>
      </c>
      <c r="T119" s="5">
        <f>SUM(C119:O119)</f>
        <v>70.280231497213521</v>
      </c>
    </row>
    <row r="120" spans="2:20" ht="15" x14ac:dyDescent="0.25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28"/>
      <c r="Q120" s="5"/>
      <c r="R120" s="5"/>
      <c r="S120" s="5"/>
      <c r="T120" s="5"/>
    </row>
    <row r="121" spans="2:20" ht="30" x14ac:dyDescent="0.25">
      <c r="B121" s="43" t="s">
        <v>42</v>
      </c>
      <c r="C121" s="43" t="s">
        <v>0</v>
      </c>
      <c r="D121" s="43" t="s">
        <v>1</v>
      </c>
      <c r="E121" s="43" t="s">
        <v>28</v>
      </c>
      <c r="F121" s="2" t="s">
        <v>29</v>
      </c>
      <c r="G121" s="2" t="s">
        <v>6</v>
      </c>
      <c r="H121" s="43" t="s">
        <v>2</v>
      </c>
      <c r="I121" s="43" t="s">
        <v>3</v>
      </c>
      <c r="J121" s="43" t="s">
        <v>4</v>
      </c>
      <c r="K121" s="43" t="s">
        <v>9</v>
      </c>
      <c r="L121" s="43" t="s">
        <v>8</v>
      </c>
      <c r="M121" s="43" t="s">
        <v>25</v>
      </c>
      <c r="N121" s="43" t="s">
        <v>7</v>
      </c>
      <c r="O121" s="43" t="s">
        <v>89</v>
      </c>
      <c r="P121" s="25"/>
      <c r="Q121" s="43" t="s">
        <v>5</v>
      </c>
      <c r="R121" s="43" t="s">
        <v>91</v>
      </c>
      <c r="T121" s="43" t="s">
        <v>10</v>
      </c>
    </row>
    <row r="122" spans="2:20" ht="15" x14ac:dyDescent="0.25">
      <c r="B122" s="3">
        <v>2016</v>
      </c>
      <c r="C122" s="51">
        <f>Inputs_Summary!E$11*C46/1000000</f>
        <v>0</v>
      </c>
      <c r="D122" s="51">
        <f>Inputs_Summary!F$11*D46/1000000</f>
        <v>0</v>
      </c>
      <c r="E122" s="51">
        <f>Inputs_Summary!G$11*E46/1000000</f>
        <v>0</v>
      </c>
      <c r="F122" s="51">
        <f>Inputs_Summary!H$11*F46/1000000</f>
        <v>0</v>
      </c>
      <c r="G122" s="51">
        <f>Inputs_Summary!I$11*G46/1000000</f>
        <v>0</v>
      </c>
      <c r="H122" s="51">
        <f>Inputs_Summary!J$11*H46/1000000</f>
        <v>0</v>
      </c>
      <c r="I122" s="51">
        <f>Inputs_Summary!K$11*I46/1000000</f>
        <v>0</v>
      </c>
      <c r="J122" s="51">
        <f>Inputs_Summary!L$11*J46/1000000</f>
        <v>0</v>
      </c>
      <c r="K122" s="51">
        <f>Inputs_Summary!M$11*K46/1000000</f>
        <v>0</v>
      </c>
      <c r="L122" s="51">
        <f>Inputs_Summary!N$11*L46/1000000</f>
        <v>0</v>
      </c>
      <c r="M122" s="51">
        <f>Inputs_Summary!O$11*M46/1000000</f>
        <v>0</v>
      </c>
      <c r="N122" s="51">
        <f>Inputs_Summary!P$11*N46/1000000</f>
        <v>0</v>
      </c>
      <c r="O122" s="51">
        <f>Inputs_Summary!R$11*O46/1000000</f>
        <v>0</v>
      </c>
      <c r="P122" s="97"/>
      <c r="Q122" s="39">
        <f>G122+N122</f>
        <v>0</v>
      </c>
      <c r="R122" s="5">
        <f>SUM(K122:L122)</f>
        <v>0</v>
      </c>
      <c r="T122" s="5">
        <f>SUM(C122:O122)</f>
        <v>0</v>
      </c>
    </row>
    <row r="123" spans="2:20" ht="15" x14ac:dyDescent="0.25">
      <c r="B123" s="3">
        <v>2030</v>
      </c>
      <c r="C123" s="51">
        <f>Inputs_Summary!E$11*C47/1000000</f>
        <v>32.702539754508017</v>
      </c>
      <c r="D123" s="51">
        <f>Inputs_Summary!F$11*D47/1000000</f>
        <v>0</v>
      </c>
      <c r="E123" s="51">
        <f>Inputs_Summary!G$11*E47/1000000</f>
        <v>4.9969169650648118</v>
      </c>
      <c r="F123" s="51">
        <f>Inputs_Summary!H$11*F47/1000000</f>
        <v>0.31205161662414344</v>
      </c>
      <c r="G123" s="51">
        <f>Inputs_Summary!I$11*G47/1000000</f>
        <v>0</v>
      </c>
      <c r="H123" s="51">
        <f>Inputs_Summary!J$11*H47/1000000</f>
        <v>0</v>
      </c>
      <c r="I123" s="51">
        <f>Inputs_Summary!K$11*I47/1000000</f>
        <v>0</v>
      </c>
      <c r="J123" s="51">
        <f>Inputs_Summary!L$11*J47/1000000</f>
        <v>0</v>
      </c>
      <c r="K123" s="51">
        <f>Inputs_Summary!M$11*K47/1000000</f>
        <v>0</v>
      </c>
      <c r="L123" s="51">
        <f>Inputs_Summary!N$11*L47/1000000</f>
        <v>0</v>
      </c>
      <c r="M123" s="51">
        <f>Inputs_Summary!O$11*M47/1000000</f>
        <v>1.8512452823503158E-6</v>
      </c>
      <c r="N123" s="51">
        <f>Inputs_Summary!P$11*N47/1000000</f>
        <v>0</v>
      </c>
      <c r="O123" s="51">
        <f>Inputs_Summary!R$11*O47/1000000</f>
        <v>0</v>
      </c>
      <c r="P123" s="97"/>
      <c r="Q123" s="39">
        <f>G123+N123</f>
        <v>0</v>
      </c>
      <c r="R123" s="5">
        <f>SUM(K123:L123)</f>
        <v>0</v>
      </c>
      <c r="T123" s="5">
        <f>SUM(C123:O123)</f>
        <v>38.011510187442255</v>
      </c>
    </row>
    <row r="124" spans="2:20" ht="15" x14ac:dyDescent="0.25">
      <c r="B124" s="3">
        <v>2040</v>
      </c>
      <c r="C124" s="51">
        <f>Inputs_Summary!E$11*C48/1000000</f>
        <v>102.50708523568026</v>
      </c>
      <c r="D124" s="51">
        <f>Inputs_Summary!F$11*D48/1000000</f>
        <v>0</v>
      </c>
      <c r="E124" s="51">
        <f>Inputs_Summary!G$11*E48/1000000</f>
        <v>15.833602620987559</v>
      </c>
      <c r="F124" s="51">
        <f>Inputs_Summary!H$11*F48/1000000</f>
        <v>0.50725197972387459</v>
      </c>
      <c r="G124" s="51">
        <f>Inputs_Summary!I$11*G48/1000000</f>
        <v>0</v>
      </c>
      <c r="H124" s="51">
        <f>Inputs_Summary!J$11*H48/1000000</f>
        <v>0</v>
      </c>
      <c r="I124" s="51">
        <f>Inputs_Summary!K$11*I48/1000000</f>
        <v>0</v>
      </c>
      <c r="J124" s="51">
        <f>Inputs_Summary!L$11*J48/1000000</f>
        <v>0</v>
      </c>
      <c r="K124" s="51">
        <f>Inputs_Summary!M$11*K48/1000000</f>
        <v>0</v>
      </c>
      <c r="L124" s="51">
        <f>Inputs_Summary!N$11*L48/1000000</f>
        <v>0</v>
      </c>
      <c r="M124" s="51">
        <f>Inputs_Summary!O$11*M48/1000000</f>
        <v>1.8527872636018145E-6</v>
      </c>
      <c r="N124" s="51">
        <f>Inputs_Summary!P$11*N48/1000000</f>
        <v>0</v>
      </c>
      <c r="O124" s="51">
        <f>Inputs_Summary!R$11*O48/1000000</f>
        <v>0</v>
      </c>
      <c r="P124" s="97"/>
      <c r="Q124" s="39">
        <f>G124+N124</f>
        <v>0</v>
      </c>
      <c r="R124" s="5">
        <f>SUM(K124:L124)</f>
        <v>0</v>
      </c>
      <c r="T124" s="5">
        <f>SUM(C124:O124)</f>
        <v>118.84794168917897</v>
      </c>
    </row>
    <row r="125" spans="2:20" ht="15" x14ac:dyDescent="0.25">
      <c r="B125" s="3">
        <v>2050</v>
      </c>
      <c r="C125" s="51">
        <f>Inputs_Summary!E$11*C49/1000000</f>
        <v>98.147699869880768</v>
      </c>
      <c r="D125" s="51">
        <f>Inputs_Summary!F$11*D49/1000000</f>
        <v>0</v>
      </c>
      <c r="E125" s="51">
        <f>Inputs_Summary!G$11*E49/1000000</f>
        <v>17.236751594522516</v>
      </c>
      <c r="F125" s="51">
        <f>Inputs_Summary!H$11*F49/1000000</f>
        <v>0.48424512316647567</v>
      </c>
      <c r="G125" s="51">
        <f>Inputs_Summary!I$11*G49/1000000</f>
        <v>0</v>
      </c>
      <c r="H125" s="51">
        <f>Inputs_Summary!J$11*H49/1000000</f>
        <v>0</v>
      </c>
      <c r="I125" s="51">
        <f>Inputs_Summary!K$11*I49/1000000</f>
        <v>0</v>
      </c>
      <c r="J125" s="51">
        <f>Inputs_Summary!L$11*J49/1000000</f>
        <v>0</v>
      </c>
      <c r="K125" s="51">
        <f>Inputs_Summary!M$11*K49/1000000</f>
        <v>0</v>
      </c>
      <c r="L125" s="51">
        <f>Inputs_Summary!N$11*L49/1000000</f>
        <v>0</v>
      </c>
      <c r="M125" s="51">
        <f>Inputs_Summary!O$11*M49/1000000</f>
        <v>8.7009154286751734E-7</v>
      </c>
      <c r="N125" s="51">
        <f>Inputs_Summary!P$11*N49/1000000</f>
        <v>0</v>
      </c>
      <c r="O125" s="51">
        <f>Inputs_Summary!R$11*O49/1000000</f>
        <v>0</v>
      </c>
      <c r="P125" s="97"/>
      <c r="Q125" s="39">
        <f>G125+N125</f>
        <v>0</v>
      </c>
      <c r="R125" s="5">
        <f>SUM(K125:L125)</f>
        <v>0</v>
      </c>
      <c r="T125" s="5">
        <f>SUM(C125:O125)</f>
        <v>115.8686974576613</v>
      </c>
    </row>
    <row r="126" spans="2:20" ht="15" x14ac:dyDescent="0.25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28"/>
    </row>
    <row r="127" spans="2:20" ht="30" x14ac:dyDescent="0.25">
      <c r="B127" s="43" t="s">
        <v>24</v>
      </c>
      <c r="C127" s="43" t="s">
        <v>0</v>
      </c>
      <c r="D127" s="43" t="s">
        <v>1</v>
      </c>
      <c r="E127" s="43" t="s">
        <v>28</v>
      </c>
      <c r="F127" s="2" t="s">
        <v>29</v>
      </c>
      <c r="G127" s="2" t="s">
        <v>6</v>
      </c>
      <c r="H127" s="43" t="s">
        <v>2</v>
      </c>
      <c r="I127" s="43" t="s">
        <v>3</v>
      </c>
      <c r="J127" s="43" t="s">
        <v>4</v>
      </c>
      <c r="K127" s="43" t="s">
        <v>9</v>
      </c>
      <c r="L127" s="43" t="s">
        <v>8</v>
      </c>
      <c r="M127" s="43" t="s">
        <v>25</v>
      </c>
      <c r="N127" s="43" t="s">
        <v>7</v>
      </c>
      <c r="O127" s="43" t="s">
        <v>89</v>
      </c>
      <c r="P127" s="25"/>
      <c r="Q127" s="43" t="s">
        <v>5</v>
      </c>
      <c r="R127" s="43" t="s">
        <v>91</v>
      </c>
      <c r="T127" s="43" t="s">
        <v>10</v>
      </c>
    </row>
    <row r="128" spans="2:20" ht="15" x14ac:dyDescent="0.25">
      <c r="B128" s="3">
        <v>2016</v>
      </c>
      <c r="C128" s="51">
        <f t="shared" ref="C128:O128" si="46">C110+C116+C122</f>
        <v>215.13357259497792</v>
      </c>
      <c r="D128" s="51">
        <f t="shared" si="46"/>
        <v>0</v>
      </c>
      <c r="E128" s="51">
        <f t="shared" si="46"/>
        <v>0.27748016944768411</v>
      </c>
      <c r="F128" s="51">
        <f t="shared" si="46"/>
        <v>1.1619560473070238</v>
      </c>
      <c r="G128" s="51">
        <f t="shared" si="46"/>
        <v>0</v>
      </c>
      <c r="H128" s="51">
        <f t="shared" si="46"/>
        <v>0</v>
      </c>
      <c r="I128" s="51">
        <f t="shared" si="46"/>
        <v>0</v>
      </c>
      <c r="J128" s="51">
        <f t="shared" si="46"/>
        <v>0</v>
      </c>
      <c r="K128" s="51">
        <f t="shared" si="46"/>
        <v>0</v>
      </c>
      <c r="L128" s="51">
        <f t="shared" si="46"/>
        <v>0</v>
      </c>
      <c r="M128" s="51">
        <f t="shared" si="46"/>
        <v>0</v>
      </c>
      <c r="N128" s="51">
        <f t="shared" si="46"/>
        <v>5.9887859519957903E-4</v>
      </c>
      <c r="O128" s="51">
        <f t="shared" si="46"/>
        <v>0</v>
      </c>
      <c r="P128" s="97"/>
      <c r="Q128" s="39">
        <f>G128+N128</f>
        <v>5.9887859519957903E-4</v>
      </c>
      <c r="R128" s="5">
        <f>SUM(K128:L128)</f>
        <v>0</v>
      </c>
      <c r="T128" s="5">
        <f>SUM(C128:O128)</f>
        <v>216.57360769032783</v>
      </c>
    </row>
    <row r="129" spans="2:25" ht="15" x14ac:dyDescent="0.25">
      <c r="B129" s="3">
        <v>2030</v>
      </c>
      <c r="C129" s="51">
        <f t="shared" ref="C129:O129" si="47">C111+C117+C123</f>
        <v>244.63937004936733</v>
      </c>
      <c r="D129" s="51">
        <f t="shared" si="47"/>
        <v>0</v>
      </c>
      <c r="E129" s="51">
        <f t="shared" si="47"/>
        <v>5.8137027031554114</v>
      </c>
      <c r="F129" s="51">
        <f t="shared" si="47"/>
        <v>0.37176881155033975</v>
      </c>
      <c r="G129" s="51">
        <f t="shared" si="47"/>
        <v>0</v>
      </c>
      <c r="H129" s="51">
        <f t="shared" si="47"/>
        <v>0</v>
      </c>
      <c r="I129" s="51">
        <f t="shared" si="47"/>
        <v>0</v>
      </c>
      <c r="J129" s="51">
        <f t="shared" si="47"/>
        <v>0</v>
      </c>
      <c r="K129" s="51">
        <f t="shared" si="47"/>
        <v>0</v>
      </c>
      <c r="L129" s="51">
        <f t="shared" si="47"/>
        <v>0</v>
      </c>
      <c r="M129" s="51">
        <f t="shared" si="47"/>
        <v>1.8512452823503158E-6</v>
      </c>
      <c r="N129" s="51">
        <f t="shared" si="47"/>
        <v>1.0293535751779276E-3</v>
      </c>
      <c r="O129" s="51">
        <f t="shared" si="47"/>
        <v>0</v>
      </c>
      <c r="P129" s="97"/>
      <c r="Q129" s="39">
        <f>G129+N129</f>
        <v>1.0293535751779276E-3</v>
      </c>
      <c r="R129" s="5">
        <f>SUM(K129:L129)</f>
        <v>0</v>
      </c>
      <c r="T129" s="5">
        <f>SUM(C129:O129)</f>
        <v>250.82587276889353</v>
      </c>
    </row>
    <row r="130" spans="2:25" ht="15" x14ac:dyDescent="0.25">
      <c r="B130" s="3">
        <v>2040</v>
      </c>
      <c r="C130" s="51">
        <f t="shared" ref="C130:O130" si="48">C112+C118+C124</f>
        <v>221.60607472000518</v>
      </c>
      <c r="D130" s="51">
        <f t="shared" si="48"/>
        <v>0</v>
      </c>
      <c r="E130" s="51">
        <f t="shared" si="48"/>
        <v>16.652518523967736</v>
      </c>
      <c r="F130" s="51">
        <f t="shared" si="48"/>
        <v>0.55682433228779871</v>
      </c>
      <c r="G130" s="51">
        <f t="shared" si="48"/>
        <v>0</v>
      </c>
      <c r="H130" s="51">
        <f t="shared" si="48"/>
        <v>0</v>
      </c>
      <c r="I130" s="51">
        <f t="shared" si="48"/>
        <v>0</v>
      </c>
      <c r="J130" s="51">
        <f t="shared" si="48"/>
        <v>0</v>
      </c>
      <c r="K130" s="51">
        <f t="shared" si="48"/>
        <v>0</v>
      </c>
      <c r="L130" s="51">
        <f t="shared" si="48"/>
        <v>0</v>
      </c>
      <c r="M130" s="51">
        <f t="shared" si="48"/>
        <v>1.8527872636018145E-6</v>
      </c>
      <c r="N130" s="51">
        <f t="shared" si="48"/>
        <v>9.3633541711779511E-4</v>
      </c>
      <c r="O130" s="51">
        <f t="shared" si="48"/>
        <v>0</v>
      </c>
      <c r="P130" s="97"/>
      <c r="Q130" s="39">
        <f>G130+N130</f>
        <v>9.3633541711779511E-4</v>
      </c>
      <c r="R130" s="5">
        <f>SUM(K130:L130)</f>
        <v>0</v>
      </c>
      <c r="T130" s="5">
        <f>SUM(C130:O130)</f>
        <v>238.81635576446507</v>
      </c>
    </row>
    <row r="131" spans="2:25" ht="15" x14ac:dyDescent="0.25">
      <c r="B131" s="3">
        <v>2050</v>
      </c>
      <c r="C131" s="51">
        <f t="shared" ref="C131:O131" si="49">C113+C119+C125</f>
        <v>168.42739079092169</v>
      </c>
      <c r="D131" s="51">
        <f t="shared" si="49"/>
        <v>0</v>
      </c>
      <c r="E131" s="51">
        <f t="shared" si="49"/>
        <v>18.050559917552171</v>
      </c>
      <c r="F131" s="51">
        <f t="shared" si="49"/>
        <v>0.48424512316647567</v>
      </c>
      <c r="G131" s="51">
        <f t="shared" si="49"/>
        <v>0</v>
      </c>
      <c r="H131" s="51">
        <f t="shared" si="49"/>
        <v>0</v>
      </c>
      <c r="I131" s="51">
        <f t="shared" si="49"/>
        <v>0</v>
      </c>
      <c r="J131" s="51">
        <f t="shared" si="49"/>
        <v>0</v>
      </c>
      <c r="K131" s="51">
        <f t="shared" si="49"/>
        <v>0</v>
      </c>
      <c r="L131" s="51">
        <f t="shared" si="49"/>
        <v>0</v>
      </c>
      <c r="M131" s="51">
        <f t="shared" si="49"/>
        <v>8.7009154286751734E-7</v>
      </c>
      <c r="N131" s="51">
        <f t="shared" si="49"/>
        <v>9.5130008686848569E-4</v>
      </c>
      <c r="O131" s="51">
        <f t="shared" si="49"/>
        <v>0</v>
      </c>
      <c r="P131" s="97"/>
      <c r="Q131" s="39">
        <f>G131+N131</f>
        <v>9.5130008686848569E-4</v>
      </c>
      <c r="R131" s="5">
        <f>SUM(K131:L131)</f>
        <v>0</v>
      </c>
      <c r="T131" s="5">
        <f>SUM(C131:O131)</f>
        <v>186.96314800181878</v>
      </c>
    </row>
    <row r="132" spans="2:25" ht="15" x14ac:dyDescent="0.25"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28"/>
    </row>
    <row r="133" spans="2:25" ht="15" x14ac:dyDescent="0.25">
      <c r="B133" s="3">
        <v>2016</v>
      </c>
      <c r="C133" s="23">
        <f t="shared" ref="C133:O133" si="50">IFERROR(C128/$T128,0)</f>
        <v>0.99335082833634569</v>
      </c>
      <c r="D133" s="23">
        <f t="shared" si="50"/>
        <v>0</v>
      </c>
      <c r="E133" s="23">
        <f t="shared" si="50"/>
        <v>1.2812279963699213E-3</v>
      </c>
      <c r="F133" s="23">
        <f t="shared" si="50"/>
        <v>5.365178424549635E-3</v>
      </c>
      <c r="G133" s="23">
        <f t="shared" si="50"/>
        <v>0</v>
      </c>
      <c r="H133" s="23">
        <f t="shared" si="50"/>
        <v>0</v>
      </c>
      <c r="I133" s="23">
        <f t="shared" si="50"/>
        <v>0</v>
      </c>
      <c r="J133" s="23">
        <f t="shared" si="50"/>
        <v>0</v>
      </c>
      <c r="K133" s="23">
        <f t="shared" si="50"/>
        <v>0</v>
      </c>
      <c r="L133" s="23">
        <f t="shared" si="50"/>
        <v>0</v>
      </c>
      <c r="M133" s="23">
        <f t="shared" si="50"/>
        <v>0</v>
      </c>
      <c r="N133" s="23">
        <f t="shared" si="50"/>
        <v>2.7652427347283133E-6</v>
      </c>
      <c r="O133" s="23">
        <f t="shared" si="50"/>
        <v>0</v>
      </c>
      <c r="P133" s="26"/>
      <c r="Q133" s="7">
        <f t="shared" ref="Q133:R136" si="51">Q128/$T128</f>
        <v>2.7652427347283133E-6</v>
      </c>
      <c r="R133" s="7">
        <f t="shared" si="51"/>
        <v>0</v>
      </c>
      <c r="T133" s="8">
        <f>SUM(C133:O133)</f>
        <v>0.99999999999999989</v>
      </c>
    </row>
    <row r="134" spans="2:25" ht="15" x14ac:dyDescent="0.25">
      <c r="B134" s="3">
        <v>2030</v>
      </c>
      <c r="C134" s="23">
        <f t="shared" ref="C134:O134" si="52">IFERROR(C129/$T129,0)</f>
        <v>0.97533546818263706</v>
      </c>
      <c r="D134" s="23">
        <f t="shared" si="52"/>
        <v>0</v>
      </c>
      <c r="E134" s="23">
        <f t="shared" si="52"/>
        <v>2.317824169802472E-2</v>
      </c>
      <c r="F134" s="23">
        <f t="shared" si="52"/>
        <v>1.4821788814939393E-3</v>
      </c>
      <c r="G134" s="23">
        <f t="shared" si="52"/>
        <v>0</v>
      </c>
      <c r="H134" s="23">
        <f t="shared" si="52"/>
        <v>0</v>
      </c>
      <c r="I134" s="23">
        <f t="shared" si="52"/>
        <v>0</v>
      </c>
      <c r="J134" s="23">
        <f t="shared" si="52"/>
        <v>0</v>
      </c>
      <c r="K134" s="23">
        <f t="shared" si="52"/>
        <v>0</v>
      </c>
      <c r="L134" s="23">
        <f t="shared" si="52"/>
        <v>0</v>
      </c>
      <c r="M134" s="23">
        <f t="shared" si="52"/>
        <v>7.3805993851998675E-9</v>
      </c>
      <c r="N134" s="23">
        <f t="shared" si="52"/>
        <v>4.1038572449276621E-6</v>
      </c>
      <c r="O134" s="23">
        <f t="shared" si="52"/>
        <v>0</v>
      </c>
      <c r="P134" s="26"/>
      <c r="Q134" s="7">
        <f t="shared" si="51"/>
        <v>4.1038572449276621E-6</v>
      </c>
      <c r="R134" s="7">
        <f t="shared" si="51"/>
        <v>0</v>
      </c>
      <c r="T134" s="8">
        <f>SUM(C134:O134)</f>
        <v>1</v>
      </c>
    </row>
    <row r="135" spans="2:25" ht="15" x14ac:dyDescent="0.25">
      <c r="B135" s="3">
        <v>2040</v>
      </c>
      <c r="C135" s="23">
        <f t="shared" ref="C135:O135" si="53">IFERROR(C130/$T130,0)</f>
        <v>0.92793508221256971</v>
      </c>
      <c r="D135" s="23">
        <f t="shared" si="53"/>
        <v>0</v>
      </c>
      <c r="E135" s="23">
        <f t="shared" si="53"/>
        <v>6.9729388804473019E-2</v>
      </c>
      <c r="F135" s="23">
        <f t="shared" si="53"/>
        <v>2.3316004907007796E-3</v>
      </c>
      <c r="G135" s="23">
        <f t="shared" si="53"/>
        <v>0</v>
      </c>
      <c r="H135" s="23">
        <f t="shared" si="53"/>
        <v>0</v>
      </c>
      <c r="I135" s="23">
        <f t="shared" si="53"/>
        <v>0</v>
      </c>
      <c r="J135" s="23">
        <f t="shared" si="53"/>
        <v>0</v>
      </c>
      <c r="K135" s="23">
        <f t="shared" si="53"/>
        <v>0</v>
      </c>
      <c r="L135" s="23">
        <f t="shared" si="53"/>
        <v>0</v>
      </c>
      <c r="M135" s="23">
        <f t="shared" si="53"/>
        <v>7.7582092636450064E-9</v>
      </c>
      <c r="N135" s="23">
        <f t="shared" si="53"/>
        <v>3.9207340473835255E-6</v>
      </c>
      <c r="O135" s="23">
        <f t="shared" si="53"/>
        <v>0</v>
      </c>
      <c r="P135" s="26"/>
      <c r="Q135" s="7">
        <f t="shared" si="51"/>
        <v>3.9207340473835255E-6</v>
      </c>
      <c r="R135" s="7">
        <f t="shared" si="51"/>
        <v>0</v>
      </c>
      <c r="T135" s="8">
        <f>SUM(C135:O135)</f>
        <v>1.0000000000000002</v>
      </c>
    </row>
    <row r="136" spans="2:25" ht="15" x14ac:dyDescent="0.25">
      <c r="B136" s="3">
        <v>2050</v>
      </c>
      <c r="C136" s="23">
        <f t="shared" ref="C136:O136" si="54">IFERROR(C131/$T131,0)</f>
        <v>0.90085876597073145</v>
      </c>
      <c r="D136" s="23">
        <f t="shared" si="54"/>
        <v>0</v>
      </c>
      <c r="E136" s="23">
        <f t="shared" si="54"/>
        <v>9.6546084672133214E-2</v>
      </c>
      <c r="F136" s="23">
        <f t="shared" si="54"/>
        <v>2.590056534359193E-3</v>
      </c>
      <c r="G136" s="23">
        <f t="shared" si="54"/>
        <v>0</v>
      </c>
      <c r="H136" s="23">
        <f t="shared" si="54"/>
        <v>0</v>
      </c>
      <c r="I136" s="23">
        <f t="shared" si="54"/>
        <v>0</v>
      </c>
      <c r="J136" s="23">
        <f t="shared" si="54"/>
        <v>0</v>
      </c>
      <c r="K136" s="23">
        <f t="shared" si="54"/>
        <v>0</v>
      </c>
      <c r="L136" s="23">
        <f t="shared" si="54"/>
        <v>0</v>
      </c>
      <c r="M136" s="23">
        <f t="shared" si="54"/>
        <v>4.6538130758209795E-9</v>
      </c>
      <c r="N136" s="23">
        <f t="shared" si="54"/>
        <v>5.0881689628976047E-6</v>
      </c>
      <c r="O136" s="23">
        <f t="shared" si="54"/>
        <v>0</v>
      </c>
      <c r="P136" s="26"/>
      <c r="Q136" s="7">
        <f t="shared" si="51"/>
        <v>5.0881689628976047E-6</v>
      </c>
      <c r="R136" s="7">
        <f t="shared" si="51"/>
        <v>0</v>
      </c>
      <c r="T136" s="8">
        <f>SUM(C136:O136)</f>
        <v>0.99999999999999989</v>
      </c>
    </row>
    <row r="137" spans="2:25" s="11" customFormat="1" ht="15" x14ac:dyDescent="0.25">
      <c r="C137" s="12"/>
      <c r="D137" s="12"/>
      <c r="E137" s="14"/>
      <c r="F137" s="14"/>
      <c r="G137" s="14"/>
      <c r="H137" s="16"/>
      <c r="I137" s="14"/>
      <c r="J137" s="14"/>
      <c r="K137" s="16"/>
      <c r="L137" s="14"/>
      <c r="M137" s="16"/>
      <c r="N137" s="16"/>
      <c r="O137" s="20"/>
      <c r="P137" s="20"/>
      <c r="Y137" s="12"/>
    </row>
    <row r="138" spans="2:25" s="9" customFormat="1" ht="21" x14ac:dyDescent="0.35">
      <c r="B138" s="10" t="s">
        <v>44</v>
      </c>
      <c r="Y138" s="86"/>
    </row>
    <row r="139" spans="2:25" s="32" customFormat="1" ht="21" x14ac:dyDescent="0.35">
      <c r="B139" s="31"/>
      <c r="P139" s="58"/>
      <c r="Y139" s="87"/>
    </row>
    <row r="140" spans="2:25" ht="30" x14ac:dyDescent="0.25">
      <c r="B140" s="43" t="s">
        <v>76</v>
      </c>
      <c r="C140" s="43" t="s">
        <v>0</v>
      </c>
      <c r="D140" s="43" t="s">
        <v>1</v>
      </c>
      <c r="E140" s="43" t="s">
        <v>28</v>
      </c>
      <c r="F140" s="2" t="s">
        <v>29</v>
      </c>
      <c r="G140" s="2" t="s">
        <v>6</v>
      </c>
      <c r="H140" s="43" t="s">
        <v>2</v>
      </c>
      <c r="I140" s="43" t="s">
        <v>3</v>
      </c>
      <c r="J140" s="43" t="s">
        <v>4</v>
      </c>
      <c r="K140" s="43" t="s">
        <v>9</v>
      </c>
      <c r="L140" s="43" t="s">
        <v>8</v>
      </c>
      <c r="M140" s="43" t="s">
        <v>25</v>
      </c>
      <c r="N140" s="43" t="s">
        <v>7</v>
      </c>
      <c r="O140" s="43" t="s">
        <v>89</v>
      </c>
      <c r="P140" s="25"/>
      <c r="Q140" s="43" t="s">
        <v>5</v>
      </c>
      <c r="R140" s="43" t="s">
        <v>91</v>
      </c>
      <c r="T140" s="43" t="s">
        <v>10</v>
      </c>
    </row>
    <row r="141" spans="2:25" ht="15" x14ac:dyDescent="0.25">
      <c r="B141" s="3">
        <v>2016</v>
      </c>
      <c r="C141" s="51">
        <f>Inputs_Summary!E$16*C34/1000000</f>
        <v>280.52467826386066</v>
      </c>
      <c r="D141" s="51">
        <f>Inputs_Summary!F$16*D34/1000000</f>
        <v>0</v>
      </c>
      <c r="E141" s="51">
        <f>Inputs_Summary!G$16*E34/1000000</f>
        <v>1.4970319768567157E-2</v>
      </c>
      <c r="F141" s="51">
        <f>Inputs_Summary!H$16*F34/1000000</f>
        <v>0</v>
      </c>
      <c r="G141" s="51">
        <f>Inputs_Summary!I$16*G34/1000000</f>
        <v>0</v>
      </c>
      <c r="H141" s="51">
        <f>Inputs_Summary!J$16*H34/1000000</f>
        <v>0</v>
      </c>
      <c r="I141" s="51">
        <f>Inputs_Summary!K$16*I34/1000000</f>
        <v>6.6213594050410038E-2</v>
      </c>
      <c r="J141" s="51">
        <f>Inputs_Summary!L$16*J34/1000000</f>
        <v>0</v>
      </c>
      <c r="K141" s="51">
        <f>Inputs_Summary!M$16*K34/1000000</f>
        <v>0</v>
      </c>
      <c r="L141" s="51">
        <f>Inputs_Summary!N$16*L34/1000000</f>
        <v>0.35950778379036846</v>
      </c>
      <c r="M141" s="51">
        <f>Inputs_Summary!O$16*M34/1000000</f>
        <v>0</v>
      </c>
      <c r="N141" s="51">
        <f>Inputs_Summary!P$16*N34/1000000</f>
        <v>5.9887859519957903E-4</v>
      </c>
      <c r="O141" s="51">
        <f>Inputs_Summary!R$16*O34/1000000</f>
        <v>0</v>
      </c>
      <c r="P141" s="97"/>
      <c r="Q141" s="39">
        <f>G141+N141</f>
        <v>5.9887859519957903E-4</v>
      </c>
      <c r="R141" s="5">
        <f>SUM(K141:L141)</f>
        <v>0.35950778379036846</v>
      </c>
      <c r="T141" s="5">
        <f>SUM(C141:O141)</f>
        <v>280.96596884006522</v>
      </c>
    </row>
    <row r="142" spans="2:25" ht="15" x14ac:dyDescent="0.25">
      <c r="B142" s="3">
        <v>2030</v>
      </c>
      <c r="C142" s="51">
        <f>Inputs_Summary!E$16*C35/1000000</f>
        <v>190.5065419577098</v>
      </c>
      <c r="D142" s="51">
        <f>Inputs_Summary!F$16*D35/1000000</f>
        <v>0</v>
      </c>
      <c r="E142" s="51">
        <f>Inputs_Summary!G$16*E35/1000000</f>
        <v>4.4066369520964245E-2</v>
      </c>
      <c r="F142" s="51">
        <f>Inputs_Summary!H$16*F35/1000000</f>
        <v>0</v>
      </c>
      <c r="G142" s="51">
        <f>Inputs_Summary!I$16*G35/1000000</f>
        <v>0</v>
      </c>
      <c r="H142" s="51">
        <f>Inputs_Summary!J$16*H35/1000000</f>
        <v>0</v>
      </c>
      <c r="I142" s="51">
        <f>Inputs_Summary!K$16*I35/1000000</f>
        <v>6.7236412679081439E-2</v>
      </c>
      <c r="J142" s="51">
        <f>Inputs_Summary!L$16*J35/1000000</f>
        <v>0</v>
      </c>
      <c r="K142" s="51">
        <f>Inputs_Summary!M$16*K35/1000000</f>
        <v>0</v>
      </c>
      <c r="L142" s="51">
        <f>Inputs_Summary!N$16*L35/1000000</f>
        <v>0.35725566051862478</v>
      </c>
      <c r="M142" s="51">
        <f>Inputs_Summary!O$16*M35/1000000</f>
        <v>0</v>
      </c>
      <c r="N142" s="51">
        <f>Inputs_Summary!P$16*N35/1000000</f>
        <v>4.5123466276131112E-4</v>
      </c>
      <c r="O142" s="51">
        <f>Inputs_Summary!R$16*O35/1000000</f>
        <v>0</v>
      </c>
      <c r="P142" s="97"/>
      <c r="Q142" s="39">
        <f>G142+N142</f>
        <v>4.5123466276131112E-4</v>
      </c>
      <c r="R142" s="5">
        <f>SUM(K142:L142)</f>
        <v>0.35725566051862478</v>
      </c>
      <c r="T142" s="5">
        <f>SUM(C142:O142)</f>
        <v>190.97555163509125</v>
      </c>
    </row>
    <row r="143" spans="2:25" ht="15" x14ac:dyDescent="0.25">
      <c r="B143" s="3">
        <v>2040</v>
      </c>
      <c r="C143" s="51">
        <f>Inputs_Summary!E$16*C36/1000000</f>
        <v>62.52840685123315</v>
      </c>
      <c r="D143" s="51">
        <f>Inputs_Summary!F$16*D36/1000000</f>
        <v>0</v>
      </c>
      <c r="E143" s="51">
        <f>Inputs_Summary!G$16*E36/1000000</f>
        <v>4.4181293948249323E-2</v>
      </c>
      <c r="F143" s="51">
        <f>Inputs_Summary!H$16*F36/1000000</f>
        <v>0</v>
      </c>
      <c r="G143" s="51">
        <f>Inputs_Summary!I$16*G36/1000000</f>
        <v>0</v>
      </c>
      <c r="H143" s="51">
        <f>Inputs_Summary!J$16*H36/1000000</f>
        <v>0</v>
      </c>
      <c r="I143" s="51">
        <f>Inputs_Summary!K$16*I36/1000000</f>
        <v>6.7483633666147388E-2</v>
      </c>
      <c r="J143" s="51">
        <f>Inputs_Summary!L$16*J36/1000000</f>
        <v>0</v>
      </c>
      <c r="K143" s="51">
        <f>Inputs_Summary!M$16*K36/1000000</f>
        <v>0</v>
      </c>
      <c r="L143" s="51">
        <f>Inputs_Summary!N$16*L36/1000000</f>
        <v>0.36860826026580951</v>
      </c>
      <c r="M143" s="51">
        <f>Inputs_Summary!O$16*M36/1000000</f>
        <v>0</v>
      </c>
      <c r="N143" s="51">
        <f>Inputs_Summary!P$16*N36/1000000</f>
        <v>4.1474316523986419E-4</v>
      </c>
      <c r="O143" s="51">
        <f>Inputs_Summary!R$16*O36/1000000</f>
        <v>0</v>
      </c>
      <c r="P143" s="97"/>
      <c r="Q143" s="39">
        <f>G143+N143</f>
        <v>4.1474316523986419E-4</v>
      </c>
      <c r="R143" s="5">
        <f>SUM(K143:L143)</f>
        <v>0.36860826026580951</v>
      </c>
      <c r="T143" s="5">
        <f>SUM(C143:O143)</f>
        <v>63.009094782278595</v>
      </c>
    </row>
    <row r="144" spans="2:25" ht="15" x14ac:dyDescent="0.25">
      <c r="B144" s="3">
        <v>2050</v>
      </c>
      <c r="C144" s="51">
        <f>Inputs_Summary!E$16*C37/1000000</f>
        <v>0</v>
      </c>
      <c r="D144" s="51">
        <f>Inputs_Summary!F$16*D37/1000000</f>
        <v>0</v>
      </c>
      <c r="E144" s="51">
        <f>Inputs_Summary!G$16*E37/1000000</f>
        <v>4.3905735138929529E-2</v>
      </c>
      <c r="F144" s="51">
        <f>Inputs_Summary!H$16*F37/1000000</f>
        <v>0</v>
      </c>
      <c r="G144" s="51">
        <f>Inputs_Summary!I$16*G37/1000000</f>
        <v>0</v>
      </c>
      <c r="H144" s="51">
        <f>Inputs_Summary!J$16*H37/1000000</f>
        <v>0</v>
      </c>
      <c r="I144" s="51">
        <f>Inputs_Summary!K$16*I37/1000000</f>
        <v>0</v>
      </c>
      <c r="J144" s="51">
        <f>Inputs_Summary!L$16*J37/1000000</f>
        <v>0</v>
      </c>
      <c r="K144" s="51">
        <f>Inputs_Summary!M$16*K37/1000000</f>
        <v>0</v>
      </c>
      <c r="L144" s="51">
        <f>Inputs_Summary!N$16*L37/1000000</f>
        <v>0.36060155314675579</v>
      </c>
      <c r="M144" s="51">
        <f>Inputs_Summary!O$16*M37/1000000</f>
        <v>0</v>
      </c>
      <c r="N144" s="51">
        <f>Inputs_Summary!P$16*N37/1000000</f>
        <v>4.1072391427056148E-4</v>
      </c>
      <c r="O144" s="51">
        <f>Inputs_Summary!R$16*O37/1000000</f>
        <v>0</v>
      </c>
      <c r="P144" s="97"/>
      <c r="Q144" s="39">
        <f>G144+N144</f>
        <v>4.1072391427056148E-4</v>
      </c>
      <c r="R144" s="5">
        <f>SUM(K144:L144)</f>
        <v>0.36060155314675579</v>
      </c>
      <c r="T144" s="5">
        <f>SUM(C144:O144)</f>
        <v>0.40491801219995588</v>
      </c>
    </row>
    <row r="145" spans="2:20" ht="15" x14ac:dyDescent="0.25"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28"/>
      <c r="Q145" s="5"/>
      <c r="R145" s="5"/>
      <c r="S145" s="5"/>
      <c r="T145" s="5"/>
    </row>
    <row r="146" spans="2:20" ht="30" x14ac:dyDescent="0.25">
      <c r="B146" s="43" t="s">
        <v>77</v>
      </c>
      <c r="C146" s="43" t="s">
        <v>0</v>
      </c>
      <c r="D146" s="43" t="s">
        <v>1</v>
      </c>
      <c r="E146" s="43" t="s">
        <v>28</v>
      </c>
      <c r="F146" s="2" t="s">
        <v>29</v>
      </c>
      <c r="G146" s="2" t="s">
        <v>6</v>
      </c>
      <c r="H146" s="43" t="s">
        <v>2</v>
      </c>
      <c r="I146" s="43" t="s">
        <v>3</v>
      </c>
      <c r="J146" s="43" t="s">
        <v>4</v>
      </c>
      <c r="K146" s="43" t="s">
        <v>9</v>
      </c>
      <c r="L146" s="43" t="s">
        <v>8</v>
      </c>
      <c r="M146" s="43" t="s">
        <v>25</v>
      </c>
      <c r="N146" s="43" t="s">
        <v>7</v>
      </c>
      <c r="O146" s="43" t="s">
        <v>89</v>
      </c>
      <c r="P146" s="25"/>
      <c r="Q146" s="43" t="s">
        <v>5</v>
      </c>
      <c r="R146" s="43" t="s">
        <v>91</v>
      </c>
      <c r="T146" s="43" t="s">
        <v>10</v>
      </c>
    </row>
    <row r="147" spans="2:20" ht="15" x14ac:dyDescent="0.25">
      <c r="B147" s="3">
        <v>2016</v>
      </c>
      <c r="C147" s="51">
        <f>Inputs_Summary!E$19*C40/1000000</f>
        <v>1.186581624139819</v>
      </c>
      <c r="D147" s="51">
        <f>Inputs_Summary!F$19*D40/1000000</f>
        <v>0</v>
      </c>
      <c r="E147" s="51">
        <f>Inputs_Summary!G$19*E40/1000000</f>
        <v>0</v>
      </c>
      <c r="F147" s="51">
        <f>Inputs_Summary!H$19*F40/1000000</f>
        <v>0</v>
      </c>
      <c r="G147" s="51">
        <f>Inputs_Summary!I$19*G40/1000000</f>
        <v>0</v>
      </c>
      <c r="H147" s="51">
        <f>Inputs_Summary!J$19*H40/1000000</f>
        <v>0</v>
      </c>
      <c r="I147" s="51">
        <f>Inputs_Summary!K$19*I40/1000000</f>
        <v>6.6978467462469066E-3</v>
      </c>
      <c r="J147" s="51">
        <f>Inputs_Summary!L$19*J40/1000000</f>
        <v>0</v>
      </c>
      <c r="K147" s="51">
        <f>Inputs_Summary!M$19*K40/1000000</f>
        <v>0</v>
      </c>
      <c r="L147" s="51">
        <f>Inputs_Summary!N$19*L40/1000000</f>
        <v>8.739765331128805E-3</v>
      </c>
      <c r="M147" s="51">
        <f>Inputs_Summary!O$19*M40/1000000</f>
        <v>0</v>
      </c>
      <c r="N147" s="51">
        <f>Inputs_Summary!P$19*N40/1000000</f>
        <v>0</v>
      </c>
      <c r="O147" s="51">
        <f>Inputs_Summary!R$19*O40/1000000</f>
        <v>0</v>
      </c>
      <c r="P147" s="97"/>
      <c r="Q147" s="39">
        <f>G147+N147</f>
        <v>0</v>
      </c>
      <c r="R147" s="5">
        <f>SUM(K147:L147)</f>
        <v>8.739765331128805E-3</v>
      </c>
      <c r="T147" s="5">
        <f>SUM(C147:O147)</f>
        <v>1.2020192362171946</v>
      </c>
    </row>
    <row r="148" spans="2:20" ht="15" x14ac:dyDescent="0.25">
      <c r="B148" s="3">
        <v>2030</v>
      </c>
      <c r="C148" s="51">
        <f>Inputs_Summary!E$19*C41/1000000</f>
        <v>16.392776975212048</v>
      </c>
      <c r="D148" s="51">
        <f>Inputs_Summary!F$19*D41/1000000</f>
        <v>0</v>
      </c>
      <c r="E148" s="51">
        <f>Inputs_Summary!G$19*E41/1000000</f>
        <v>0</v>
      </c>
      <c r="F148" s="51">
        <f>Inputs_Summary!H$19*F41/1000000</f>
        <v>0</v>
      </c>
      <c r="G148" s="51">
        <f>Inputs_Summary!I$19*G41/1000000</f>
        <v>0</v>
      </c>
      <c r="H148" s="51">
        <f>Inputs_Summary!J$19*H41/1000000</f>
        <v>0</v>
      </c>
      <c r="I148" s="51">
        <f>Inputs_Summary!K$19*I41/1000000</f>
        <v>0.33707963686563769</v>
      </c>
      <c r="J148" s="51">
        <f>Inputs_Summary!L$19*J41/1000000</f>
        <v>0</v>
      </c>
      <c r="K148" s="51">
        <f>Inputs_Summary!M$19*K41/1000000</f>
        <v>0</v>
      </c>
      <c r="L148" s="51">
        <f>Inputs_Summary!N$19*L41/1000000</f>
        <v>0.23269082230798308</v>
      </c>
      <c r="M148" s="51">
        <f>Inputs_Summary!O$19*M41/1000000</f>
        <v>0</v>
      </c>
      <c r="N148" s="51">
        <f>Inputs_Summary!P$19*N41/1000000</f>
        <v>5.7811891241661662E-4</v>
      </c>
      <c r="O148" s="51">
        <f>Inputs_Summary!R$19*O41/1000000</f>
        <v>0</v>
      </c>
      <c r="P148" s="97"/>
      <c r="Q148" s="39">
        <f>G148+N148</f>
        <v>5.7811891241661662E-4</v>
      </c>
      <c r="R148" s="5">
        <f>SUM(K148:L148)</f>
        <v>0.23269082230798308</v>
      </c>
      <c r="T148" s="5">
        <f>SUM(C148:O148)</f>
        <v>16.963125553298084</v>
      </c>
    </row>
    <row r="149" spans="2:20" ht="15" x14ac:dyDescent="0.25">
      <c r="B149" s="3">
        <v>2040</v>
      </c>
      <c r="C149" s="51">
        <f>Inputs_Summary!E$19*C42/1000000</f>
        <v>17.108155566144401</v>
      </c>
      <c r="D149" s="51">
        <f>Inputs_Summary!F$19*D42/1000000</f>
        <v>0</v>
      </c>
      <c r="E149" s="51">
        <f>Inputs_Summary!G$19*E42/1000000</f>
        <v>0</v>
      </c>
      <c r="F149" s="51">
        <f>Inputs_Summary!H$19*F42/1000000</f>
        <v>0</v>
      </c>
      <c r="G149" s="51">
        <f>Inputs_Summary!I$19*G42/1000000</f>
        <v>0</v>
      </c>
      <c r="H149" s="51">
        <f>Inputs_Summary!J$19*H42/1000000</f>
        <v>0</v>
      </c>
      <c r="I149" s="51">
        <f>Inputs_Summary!K$19*I42/1000000</f>
        <v>0.33773951896724241</v>
      </c>
      <c r="J149" s="51">
        <f>Inputs_Summary!L$19*J42/1000000</f>
        <v>0</v>
      </c>
      <c r="K149" s="51">
        <f>Inputs_Summary!M$19*K42/1000000</f>
        <v>0</v>
      </c>
      <c r="L149" s="51">
        <f>Inputs_Summary!N$19*L42/1000000</f>
        <v>0.233885018573111</v>
      </c>
      <c r="M149" s="51">
        <f>Inputs_Summary!O$19*M42/1000000</f>
        <v>0</v>
      </c>
      <c r="N149" s="51">
        <f>Inputs_Summary!P$19*N42/1000000</f>
        <v>5.2159225187793092E-4</v>
      </c>
      <c r="O149" s="51">
        <f>Inputs_Summary!R$19*O42/1000000</f>
        <v>0</v>
      </c>
      <c r="P149" s="97"/>
      <c r="Q149" s="39">
        <f>G149+N149</f>
        <v>5.2159225187793092E-4</v>
      </c>
      <c r="R149" s="5">
        <f>SUM(K149:L149)</f>
        <v>0.233885018573111</v>
      </c>
      <c r="T149" s="5">
        <f>SUM(C149:O149)</f>
        <v>17.680301695936635</v>
      </c>
    </row>
    <row r="150" spans="2:20" ht="15" x14ac:dyDescent="0.25">
      <c r="B150" s="3">
        <v>2050</v>
      </c>
      <c r="C150" s="51">
        <f>Inputs_Summary!E$19*C43/1000000</f>
        <v>16.638540761655232</v>
      </c>
      <c r="D150" s="51">
        <f>Inputs_Summary!F$19*D43/1000000</f>
        <v>0</v>
      </c>
      <c r="E150" s="51">
        <f>Inputs_Summary!G$19*E43/1000000</f>
        <v>0</v>
      </c>
      <c r="F150" s="51">
        <f>Inputs_Summary!H$19*F43/1000000</f>
        <v>0</v>
      </c>
      <c r="G150" s="51">
        <f>Inputs_Summary!I$19*G43/1000000</f>
        <v>0</v>
      </c>
      <c r="H150" s="51">
        <f>Inputs_Summary!J$19*H43/1000000</f>
        <v>0</v>
      </c>
      <c r="I150" s="51">
        <f>Inputs_Summary!K$19*I43/1000000</f>
        <v>0</v>
      </c>
      <c r="J150" s="51">
        <f>Inputs_Summary!L$19*J43/1000000</f>
        <v>0</v>
      </c>
      <c r="K150" s="51">
        <f>Inputs_Summary!M$19*K43/1000000</f>
        <v>0</v>
      </c>
      <c r="L150" s="51">
        <f>Inputs_Summary!N$19*L43/1000000</f>
        <v>0</v>
      </c>
      <c r="M150" s="51">
        <f>Inputs_Summary!O$19*M43/1000000</f>
        <v>0</v>
      </c>
      <c r="N150" s="51">
        <f>Inputs_Summary!P$19*N43/1000000</f>
        <v>5.405761725979242E-4</v>
      </c>
      <c r="O150" s="51">
        <f>Inputs_Summary!R$19*O43/1000000</f>
        <v>0</v>
      </c>
      <c r="P150" s="97"/>
      <c r="Q150" s="39">
        <f>G150+N150</f>
        <v>5.405761725979242E-4</v>
      </c>
      <c r="R150" s="5">
        <f>SUM(K150:L150)</f>
        <v>0</v>
      </c>
      <c r="T150" s="5">
        <f>SUM(C150:O150)</f>
        <v>16.639081337827829</v>
      </c>
    </row>
    <row r="151" spans="2:20" ht="15" x14ac:dyDescent="0.25"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28"/>
      <c r="Q151" s="5"/>
      <c r="R151" s="5"/>
      <c r="S151" s="5"/>
      <c r="T151" s="5"/>
    </row>
    <row r="152" spans="2:20" ht="30" x14ac:dyDescent="0.25">
      <c r="B152" s="43" t="s">
        <v>78</v>
      </c>
      <c r="C152" s="43" t="s">
        <v>0</v>
      </c>
      <c r="D152" s="43" t="s">
        <v>1</v>
      </c>
      <c r="E152" s="43" t="s">
        <v>28</v>
      </c>
      <c r="F152" s="2" t="s">
        <v>29</v>
      </c>
      <c r="G152" s="2" t="s">
        <v>6</v>
      </c>
      <c r="H152" s="43" t="s">
        <v>2</v>
      </c>
      <c r="I152" s="43" t="s">
        <v>3</v>
      </c>
      <c r="J152" s="43" t="s">
        <v>4</v>
      </c>
      <c r="K152" s="43" t="s">
        <v>9</v>
      </c>
      <c r="L152" s="43" t="s">
        <v>8</v>
      </c>
      <c r="M152" s="43" t="s">
        <v>25</v>
      </c>
      <c r="N152" s="43" t="s">
        <v>7</v>
      </c>
      <c r="O152" s="43" t="s">
        <v>89</v>
      </c>
      <c r="P152" s="25"/>
      <c r="Q152" s="43" t="s">
        <v>5</v>
      </c>
      <c r="R152" s="43" t="s">
        <v>91</v>
      </c>
      <c r="T152" s="43" t="s">
        <v>10</v>
      </c>
    </row>
    <row r="153" spans="2:20" ht="15" x14ac:dyDescent="0.25">
      <c r="B153" s="3">
        <v>2016</v>
      </c>
      <c r="C153" s="51">
        <f>Inputs_Summary!E$22*C46/1000000</f>
        <v>0</v>
      </c>
      <c r="D153" s="51">
        <f>Inputs_Summary!F$22*D46/1000000</f>
        <v>0</v>
      </c>
      <c r="E153" s="51">
        <f>Inputs_Summary!G$22*E46/1000000</f>
        <v>0</v>
      </c>
      <c r="F153" s="51">
        <f>Inputs_Summary!H$22*F46/1000000</f>
        <v>0</v>
      </c>
      <c r="G153" s="51">
        <f>Inputs_Summary!I$22*G46/1000000</f>
        <v>0</v>
      </c>
      <c r="H153" s="51">
        <f>Inputs_Summary!J$22*H46/1000000</f>
        <v>0</v>
      </c>
      <c r="I153" s="51">
        <f>Inputs_Summary!K$22*I46/1000000</f>
        <v>0</v>
      </c>
      <c r="J153" s="51">
        <f>Inputs_Summary!L$22*J46/1000000</f>
        <v>0</v>
      </c>
      <c r="K153" s="51">
        <f>Inputs_Summary!M$22*K46/1000000</f>
        <v>0</v>
      </c>
      <c r="L153" s="51">
        <f>Inputs_Summary!N$22*L46/1000000</f>
        <v>0</v>
      </c>
      <c r="M153" s="51">
        <f>Inputs_Summary!O$22*M46/1000000</f>
        <v>0</v>
      </c>
      <c r="N153" s="51">
        <f>Inputs_Summary!P$22*N46/1000000</f>
        <v>0</v>
      </c>
      <c r="O153" s="51">
        <f>Inputs_Summary!R$22*O46/1000000</f>
        <v>0</v>
      </c>
      <c r="P153" s="97"/>
      <c r="Q153" s="39">
        <f>G153+N153</f>
        <v>0</v>
      </c>
      <c r="R153" s="5">
        <f>SUM(K153:L153)</f>
        <v>0</v>
      </c>
      <c r="T153" s="5">
        <f>SUM(C153:O153)</f>
        <v>0</v>
      </c>
    </row>
    <row r="154" spans="2:20" ht="15" x14ac:dyDescent="0.25">
      <c r="B154" s="3">
        <v>2030</v>
      </c>
      <c r="C154" s="51">
        <f>Inputs_Summary!E$22*C47/1000000</f>
        <v>7.7422443608403571</v>
      </c>
      <c r="D154" s="51">
        <f>Inputs_Summary!F$22*D47/1000000</f>
        <v>0</v>
      </c>
      <c r="E154" s="51">
        <f>Inputs_Summary!G$22*E47/1000000</f>
        <v>0.26958843571739305</v>
      </c>
      <c r="F154" s="51">
        <f>Inputs_Summary!H$22*F47/1000000</f>
        <v>0</v>
      </c>
      <c r="G154" s="51">
        <f>Inputs_Summary!I$22*G47/1000000</f>
        <v>0</v>
      </c>
      <c r="H154" s="51">
        <f>Inputs_Summary!J$22*H47/1000000</f>
        <v>0</v>
      </c>
      <c r="I154" s="51">
        <f>Inputs_Summary!K$22*I47/1000000</f>
        <v>0</v>
      </c>
      <c r="J154" s="51">
        <f>Inputs_Summary!L$22*J47/1000000</f>
        <v>0</v>
      </c>
      <c r="K154" s="51">
        <f>Inputs_Summary!M$22*K47/1000000</f>
        <v>0</v>
      </c>
      <c r="L154" s="51">
        <f>Inputs_Summary!N$22*L47/1000000</f>
        <v>0</v>
      </c>
      <c r="M154" s="51">
        <f>Inputs_Summary!O$22*M47/1000000</f>
        <v>1.8512452823503158E-6</v>
      </c>
      <c r="N154" s="51">
        <f>Inputs_Summary!P$22*N47/1000000</f>
        <v>0</v>
      </c>
      <c r="O154" s="51">
        <f>Inputs_Summary!R$22*O47/1000000</f>
        <v>0</v>
      </c>
      <c r="P154" s="97"/>
      <c r="Q154" s="39">
        <f>G154+N154</f>
        <v>0</v>
      </c>
      <c r="R154" s="5">
        <f>SUM(K154:L154)</f>
        <v>0</v>
      </c>
      <c r="T154" s="5">
        <f>SUM(C154:O154)</f>
        <v>8.0118346478030311</v>
      </c>
    </row>
    <row r="155" spans="2:20" ht="15" x14ac:dyDescent="0.25">
      <c r="B155" s="3">
        <v>2040</v>
      </c>
      <c r="C155" s="51">
        <f>Inputs_Summary!E$22*C48/1000000</f>
        <v>24.268295629935761</v>
      </c>
      <c r="D155" s="51">
        <f>Inputs_Summary!F$22*D48/1000000</f>
        <v>0</v>
      </c>
      <c r="E155" s="51">
        <f>Inputs_Summary!G$22*E48/1000000</f>
        <v>0.85423796156826615</v>
      </c>
      <c r="F155" s="51">
        <f>Inputs_Summary!H$22*F48/1000000</f>
        <v>0</v>
      </c>
      <c r="G155" s="51">
        <f>Inputs_Summary!I$22*G48/1000000</f>
        <v>0</v>
      </c>
      <c r="H155" s="51">
        <f>Inputs_Summary!J$22*H48/1000000</f>
        <v>0</v>
      </c>
      <c r="I155" s="51">
        <f>Inputs_Summary!K$22*I48/1000000</f>
        <v>0</v>
      </c>
      <c r="J155" s="51">
        <f>Inputs_Summary!L$22*J48/1000000</f>
        <v>0</v>
      </c>
      <c r="K155" s="51">
        <f>Inputs_Summary!M$22*K48/1000000</f>
        <v>0</v>
      </c>
      <c r="L155" s="51">
        <f>Inputs_Summary!N$22*L48/1000000</f>
        <v>0</v>
      </c>
      <c r="M155" s="51">
        <f>Inputs_Summary!O$22*M48/1000000</f>
        <v>1.8527872636018145E-6</v>
      </c>
      <c r="N155" s="51">
        <f>Inputs_Summary!P$22*N48/1000000</f>
        <v>0</v>
      </c>
      <c r="O155" s="51">
        <f>Inputs_Summary!R$22*O48/1000000</f>
        <v>0</v>
      </c>
      <c r="P155" s="97"/>
      <c r="Q155" s="39">
        <f>G155+N155</f>
        <v>0</v>
      </c>
      <c r="R155" s="5">
        <f>SUM(K155:L155)</f>
        <v>0</v>
      </c>
      <c r="T155" s="5">
        <f>SUM(C155:O155)</f>
        <v>25.122535444291291</v>
      </c>
    </row>
    <row r="156" spans="2:20" ht="15" x14ac:dyDescent="0.25">
      <c r="B156" s="3">
        <v>2050</v>
      </c>
      <c r="C156" s="51">
        <f>Inputs_Summary!E$22*C49/1000000</f>
        <v>23.236222065666531</v>
      </c>
      <c r="D156" s="51">
        <f>Inputs_Summary!F$22*D49/1000000</f>
        <v>0</v>
      </c>
      <c r="E156" s="51">
        <f>Inputs_Summary!G$22*E49/1000000</f>
        <v>0.92993918684344912</v>
      </c>
      <c r="F156" s="51">
        <f>Inputs_Summary!H$22*F49/1000000</f>
        <v>0</v>
      </c>
      <c r="G156" s="51">
        <f>Inputs_Summary!I$22*G49/1000000</f>
        <v>0</v>
      </c>
      <c r="H156" s="51">
        <f>Inputs_Summary!J$22*H49/1000000</f>
        <v>0</v>
      </c>
      <c r="I156" s="51">
        <f>Inputs_Summary!K$22*I49/1000000</f>
        <v>0</v>
      </c>
      <c r="J156" s="51">
        <f>Inputs_Summary!L$22*J49/1000000</f>
        <v>0</v>
      </c>
      <c r="K156" s="51">
        <f>Inputs_Summary!M$22*K49/1000000</f>
        <v>0</v>
      </c>
      <c r="L156" s="51">
        <f>Inputs_Summary!N$22*L49/1000000</f>
        <v>0</v>
      </c>
      <c r="M156" s="51">
        <f>Inputs_Summary!O$22*M49/1000000</f>
        <v>8.7009154286751734E-7</v>
      </c>
      <c r="N156" s="51">
        <f>Inputs_Summary!P$22*N49/1000000</f>
        <v>0</v>
      </c>
      <c r="O156" s="51">
        <f>Inputs_Summary!R$22*O49/1000000</f>
        <v>0</v>
      </c>
      <c r="P156" s="97"/>
      <c r="Q156" s="39">
        <f>G156+N156</f>
        <v>0</v>
      </c>
      <c r="R156" s="5">
        <f>SUM(K156:L156)</f>
        <v>0</v>
      </c>
      <c r="T156" s="5">
        <f>SUM(C156:O156)</f>
        <v>24.166162122601524</v>
      </c>
    </row>
    <row r="157" spans="2:20" ht="15" x14ac:dyDescent="0.25"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28"/>
    </row>
    <row r="158" spans="2:20" ht="30" x14ac:dyDescent="0.25">
      <c r="B158" s="43" t="s">
        <v>79</v>
      </c>
      <c r="C158" s="43" t="s">
        <v>0</v>
      </c>
      <c r="D158" s="43" t="s">
        <v>1</v>
      </c>
      <c r="E158" s="43" t="s">
        <v>28</v>
      </c>
      <c r="F158" s="2" t="s">
        <v>29</v>
      </c>
      <c r="G158" s="2" t="s">
        <v>6</v>
      </c>
      <c r="H158" s="43" t="s">
        <v>2</v>
      </c>
      <c r="I158" s="43" t="s">
        <v>3</v>
      </c>
      <c r="J158" s="43" t="s">
        <v>4</v>
      </c>
      <c r="K158" s="43" t="s">
        <v>9</v>
      </c>
      <c r="L158" s="43" t="s">
        <v>8</v>
      </c>
      <c r="M158" s="43" t="s">
        <v>25</v>
      </c>
      <c r="N158" s="43" t="s">
        <v>7</v>
      </c>
      <c r="O158" s="43" t="s">
        <v>89</v>
      </c>
      <c r="P158" s="25"/>
      <c r="Q158" s="43" t="s">
        <v>5</v>
      </c>
      <c r="R158" s="43" t="s">
        <v>91</v>
      </c>
      <c r="T158" s="43" t="s">
        <v>10</v>
      </c>
    </row>
    <row r="159" spans="2:20" ht="15" x14ac:dyDescent="0.25">
      <c r="B159" s="3">
        <v>2016</v>
      </c>
      <c r="C159" s="51">
        <f t="shared" ref="C159:O159" si="55">C141+C147+C153</f>
        <v>281.71125988800048</v>
      </c>
      <c r="D159" s="51">
        <f t="shared" si="55"/>
        <v>0</v>
      </c>
      <c r="E159" s="51">
        <f t="shared" si="55"/>
        <v>1.4970319768567157E-2</v>
      </c>
      <c r="F159" s="51">
        <f t="shared" si="55"/>
        <v>0</v>
      </c>
      <c r="G159" s="51">
        <f t="shared" si="55"/>
        <v>0</v>
      </c>
      <c r="H159" s="51">
        <f t="shared" si="55"/>
        <v>0</v>
      </c>
      <c r="I159" s="51">
        <f t="shared" si="55"/>
        <v>7.2911440796656943E-2</v>
      </c>
      <c r="J159" s="51">
        <f t="shared" si="55"/>
        <v>0</v>
      </c>
      <c r="K159" s="51">
        <f t="shared" si="55"/>
        <v>0</v>
      </c>
      <c r="L159" s="51">
        <f t="shared" si="55"/>
        <v>0.36824754912149726</v>
      </c>
      <c r="M159" s="51">
        <f t="shared" si="55"/>
        <v>0</v>
      </c>
      <c r="N159" s="51">
        <f t="shared" si="55"/>
        <v>5.9887859519957903E-4</v>
      </c>
      <c r="O159" s="51">
        <f t="shared" si="55"/>
        <v>0</v>
      </c>
      <c r="P159" s="97"/>
      <c r="Q159" s="39">
        <f>G159+N159</f>
        <v>5.9887859519957903E-4</v>
      </c>
      <c r="R159" s="5">
        <f>SUM(K159:L159)</f>
        <v>0.36824754912149726</v>
      </c>
      <c r="T159" s="5">
        <f>SUM(C159:O159)</f>
        <v>282.16798807628243</v>
      </c>
    </row>
    <row r="160" spans="2:20" ht="15" x14ac:dyDescent="0.25">
      <c r="B160" s="3">
        <v>2030</v>
      </c>
      <c r="C160" s="51">
        <f t="shared" ref="C160:O160" si="56">C142+C148+C154</f>
        <v>214.6415632937622</v>
      </c>
      <c r="D160" s="51">
        <f t="shared" si="56"/>
        <v>0</v>
      </c>
      <c r="E160" s="51">
        <f t="shared" si="56"/>
        <v>0.31365480523835731</v>
      </c>
      <c r="F160" s="51">
        <f t="shared" si="56"/>
        <v>0</v>
      </c>
      <c r="G160" s="51">
        <f t="shared" si="56"/>
        <v>0</v>
      </c>
      <c r="H160" s="51">
        <f t="shared" si="56"/>
        <v>0</v>
      </c>
      <c r="I160" s="51">
        <f t="shared" si="56"/>
        <v>0.40431604954471911</v>
      </c>
      <c r="J160" s="51">
        <f t="shared" si="56"/>
        <v>0</v>
      </c>
      <c r="K160" s="51">
        <f t="shared" si="56"/>
        <v>0</v>
      </c>
      <c r="L160" s="51">
        <f t="shared" si="56"/>
        <v>0.58994648282660789</v>
      </c>
      <c r="M160" s="51">
        <f t="shared" si="56"/>
        <v>1.8512452823503158E-6</v>
      </c>
      <c r="N160" s="51">
        <f t="shared" si="56"/>
        <v>1.0293535751779276E-3</v>
      </c>
      <c r="O160" s="51">
        <f t="shared" si="56"/>
        <v>0</v>
      </c>
      <c r="P160" s="97"/>
      <c r="Q160" s="39">
        <f>G160+N160</f>
        <v>1.0293535751779276E-3</v>
      </c>
      <c r="R160" s="5">
        <f>SUM(K160:L160)</f>
        <v>0.58994648282660789</v>
      </c>
      <c r="T160" s="5">
        <f>SUM(C160:O160)</f>
        <v>215.95051183619233</v>
      </c>
    </row>
    <row r="161" spans="2:25" ht="15" x14ac:dyDescent="0.25">
      <c r="B161" s="3">
        <v>2040</v>
      </c>
      <c r="C161" s="51">
        <f t="shared" ref="C161:O161" si="57">C143+C149+C155</f>
        <v>103.90485804731331</v>
      </c>
      <c r="D161" s="51">
        <f t="shared" si="57"/>
        <v>0</v>
      </c>
      <c r="E161" s="51">
        <f t="shared" si="57"/>
        <v>0.89841925551651547</v>
      </c>
      <c r="F161" s="51">
        <f t="shared" si="57"/>
        <v>0</v>
      </c>
      <c r="G161" s="51">
        <f t="shared" si="57"/>
        <v>0</v>
      </c>
      <c r="H161" s="51">
        <f t="shared" si="57"/>
        <v>0</v>
      </c>
      <c r="I161" s="51">
        <f t="shared" si="57"/>
        <v>0.40522315263338982</v>
      </c>
      <c r="J161" s="51">
        <f t="shared" si="57"/>
        <v>0</v>
      </c>
      <c r="K161" s="51">
        <f t="shared" si="57"/>
        <v>0</v>
      </c>
      <c r="L161" s="51">
        <f t="shared" si="57"/>
        <v>0.60249327883892057</v>
      </c>
      <c r="M161" s="51">
        <f t="shared" si="57"/>
        <v>1.8527872636018145E-6</v>
      </c>
      <c r="N161" s="51">
        <f t="shared" si="57"/>
        <v>9.3633541711779511E-4</v>
      </c>
      <c r="O161" s="51">
        <f t="shared" si="57"/>
        <v>0</v>
      </c>
      <c r="P161" s="97"/>
      <c r="Q161" s="39">
        <f>G161+N161</f>
        <v>9.3633541711779511E-4</v>
      </c>
      <c r="R161" s="5">
        <f>SUM(K161:L161)</f>
        <v>0.60249327883892057</v>
      </c>
      <c r="T161" s="5">
        <f>SUM(C161:O161)</f>
        <v>105.81193192250653</v>
      </c>
    </row>
    <row r="162" spans="2:25" ht="15" x14ac:dyDescent="0.25">
      <c r="B162" s="3">
        <v>2050</v>
      </c>
      <c r="C162" s="51">
        <f t="shared" ref="C162:O162" si="58">C144+C150+C156</f>
        <v>39.87476282732176</v>
      </c>
      <c r="D162" s="51">
        <f t="shared" si="58"/>
        <v>0</v>
      </c>
      <c r="E162" s="51">
        <f t="shared" si="58"/>
        <v>0.9738449219823786</v>
      </c>
      <c r="F162" s="51">
        <f t="shared" si="58"/>
        <v>0</v>
      </c>
      <c r="G162" s="51">
        <f t="shared" si="58"/>
        <v>0</v>
      </c>
      <c r="H162" s="51">
        <f t="shared" si="58"/>
        <v>0</v>
      </c>
      <c r="I162" s="51">
        <f t="shared" si="58"/>
        <v>0</v>
      </c>
      <c r="J162" s="51">
        <f t="shared" si="58"/>
        <v>0</v>
      </c>
      <c r="K162" s="51">
        <f t="shared" si="58"/>
        <v>0</v>
      </c>
      <c r="L162" s="51">
        <f t="shared" si="58"/>
        <v>0.36060155314675579</v>
      </c>
      <c r="M162" s="51">
        <f t="shared" si="58"/>
        <v>8.7009154286751734E-7</v>
      </c>
      <c r="N162" s="51">
        <f t="shared" si="58"/>
        <v>9.5130008686848569E-4</v>
      </c>
      <c r="O162" s="51">
        <f t="shared" si="58"/>
        <v>0</v>
      </c>
      <c r="P162" s="97"/>
      <c r="Q162" s="39">
        <f>G162+N162</f>
        <v>9.5130008686848569E-4</v>
      </c>
      <c r="R162" s="5">
        <f>SUM(K162:L162)</f>
        <v>0.36060155314675579</v>
      </c>
      <c r="T162" s="5">
        <f>SUM(C162:O162)</f>
        <v>41.210161472629302</v>
      </c>
    </row>
    <row r="163" spans="2:25" ht="15" x14ac:dyDescent="0.25"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28"/>
    </row>
    <row r="164" spans="2:25" ht="15" x14ac:dyDescent="0.25">
      <c r="B164" s="3">
        <v>2016</v>
      </c>
      <c r="C164" s="23">
        <f t="shared" ref="C164:O164" si="59">IFERROR(C159/$T159,0)</f>
        <v>0.9983813607227533</v>
      </c>
      <c r="D164" s="23">
        <f t="shared" si="59"/>
        <v>0</v>
      </c>
      <c r="E164" s="23">
        <f t="shared" si="59"/>
        <v>5.3054635540442739E-5</v>
      </c>
      <c r="F164" s="23">
        <f t="shared" si="59"/>
        <v>0</v>
      </c>
      <c r="G164" s="23">
        <f t="shared" si="59"/>
        <v>0</v>
      </c>
      <c r="H164" s="23">
        <f t="shared" si="59"/>
        <v>0</v>
      </c>
      <c r="I164" s="23">
        <f t="shared" si="59"/>
        <v>2.5839728061903951E-4</v>
      </c>
      <c r="J164" s="23">
        <f t="shared" si="59"/>
        <v>0</v>
      </c>
      <c r="K164" s="23">
        <f t="shared" si="59"/>
        <v>0</v>
      </c>
      <c r="L164" s="23">
        <f t="shared" si="59"/>
        <v>1.3050649424552858E-3</v>
      </c>
      <c r="M164" s="23">
        <f t="shared" si="59"/>
        <v>0</v>
      </c>
      <c r="N164" s="23">
        <f t="shared" si="59"/>
        <v>2.1224186318317433E-6</v>
      </c>
      <c r="O164" s="23">
        <f t="shared" si="59"/>
        <v>0</v>
      </c>
      <c r="P164" s="26"/>
      <c r="Q164" s="7">
        <f t="shared" ref="Q164:R167" si="60">Q159/$T159</f>
        <v>2.1224186318317433E-6</v>
      </c>
      <c r="R164" s="7">
        <f t="shared" si="60"/>
        <v>1.3050649424552858E-3</v>
      </c>
      <c r="T164" s="8">
        <f>SUM(C164:O164)</f>
        <v>0.99999999999999989</v>
      </c>
    </row>
    <row r="165" spans="2:25" ht="15" x14ac:dyDescent="0.25">
      <c r="B165" s="3">
        <v>2030</v>
      </c>
      <c r="C165" s="23">
        <f t="shared" ref="C165:O165" si="61">IFERROR(C160/$T160,0)</f>
        <v>0.99393866432035582</v>
      </c>
      <c r="D165" s="23">
        <f t="shared" si="61"/>
        <v>0</v>
      </c>
      <c r="E165" s="23">
        <f t="shared" si="61"/>
        <v>1.4524383506730367E-3</v>
      </c>
      <c r="F165" s="23">
        <f t="shared" si="61"/>
        <v>0</v>
      </c>
      <c r="G165" s="23">
        <f t="shared" si="61"/>
        <v>0</v>
      </c>
      <c r="H165" s="23">
        <f t="shared" si="61"/>
        <v>0</v>
      </c>
      <c r="I165" s="23">
        <f t="shared" si="61"/>
        <v>1.8722625202732099E-3</v>
      </c>
      <c r="J165" s="23">
        <f t="shared" si="61"/>
        <v>0</v>
      </c>
      <c r="K165" s="23">
        <f t="shared" si="61"/>
        <v>0</v>
      </c>
      <c r="L165" s="23">
        <f t="shared" si="61"/>
        <v>2.7318596182541463E-3</v>
      </c>
      <c r="M165" s="23">
        <f t="shared" si="61"/>
        <v>8.5725440824820289E-9</v>
      </c>
      <c r="N165" s="23">
        <f t="shared" si="61"/>
        <v>4.7666178997470314E-6</v>
      </c>
      <c r="O165" s="23">
        <f t="shared" si="61"/>
        <v>0</v>
      </c>
      <c r="P165" s="26"/>
      <c r="Q165" s="7">
        <f t="shared" si="60"/>
        <v>4.7666178997470314E-6</v>
      </c>
      <c r="R165" s="7">
        <f t="shared" si="60"/>
        <v>2.7318596182541463E-3</v>
      </c>
      <c r="T165" s="8">
        <f>SUM(C165:O165)</f>
        <v>1</v>
      </c>
    </row>
    <row r="166" spans="2:25" ht="15" x14ac:dyDescent="0.25">
      <c r="B166" s="3">
        <v>2040</v>
      </c>
      <c r="C166" s="23">
        <f t="shared" ref="C166:O166" si="62">IFERROR(C161/$T161,0)</f>
        <v>0.98197675970428455</v>
      </c>
      <c r="D166" s="23">
        <f t="shared" si="62"/>
        <v>0</v>
      </c>
      <c r="E166" s="23">
        <f t="shared" si="62"/>
        <v>8.4907178159689088E-3</v>
      </c>
      <c r="F166" s="23">
        <f t="shared" si="62"/>
        <v>0</v>
      </c>
      <c r="G166" s="23">
        <f t="shared" si="62"/>
        <v>0</v>
      </c>
      <c r="H166" s="23">
        <f t="shared" si="62"/>
        <v>0</v>
      </c>
      <c r="I166" s="23">
        <f t="shared" si="62"/>
        <v>3.8296546076690388E-3</v>
      </c>
      <c r="J166" s="23">
        <f t="shared" si="62"/>
        <v>0</v>
      </c>
      <c r="K166" s="23">
        <f t="shared" si="62"/>
        <v>0</v>
      </c>
      <c r="L166" s="23">
        <f t="shared" si="62"/>
        <v>5.6940013086630766E-3</v>
      </c>
      <c r="M166" s="23">
        <f t="shared" si="62"/>
        <v>1.7510192186631088E-8</v>
      </c>
      <c r="N166" s="23">
        <f t="shared" si="62"/>
        <v>8.8490532221218589E-6</v>
      </c>
      <c r="O166" s="23">
        <f t="shared" si="62"/>
        <v>0</v>
      </c>
      <c r="P166" s="26"/>
      <c r="Q166" s="7">
        <f t="shared" si="60"/>
        <v>8.8490532221218589E-6</v>
      </c>
      <c r="R166" s="7">
        <f t="shared" si="60"/>
        <v>5.6940013086630766E-3</v>
      </c>
      <c r="T166" s="8">
        <f>SUM(C166:O166)</f>
        <v>0.99999999999999978</v>
      </c>
    </row>
    <row r="167" spans="2:25" ht="15" x14ac:dyDescent="0.25">
      <c r="B167" s="3">
        <v>2050</v>
      </c>
      <c r="C167" s="23">
        <f t="shared" ref="C167:O167" si="63">IFERROR(C162/$T162,0)</f>
        <v>0.96759540371627817</v>
      </c>
      <c r="D167" s="23">
        <f t="shared" si="63"/>
        <v>0</v>
      </c>
      <c r="E167" s="23">
        <f t="shared" si="63"/>
        <v>2.3631184328874337E-2</v>
      </c>
      <c r="F167" s="23">
        <f t="shared" si="63"/>
        <v>0</v>
      </c>
      <c r="G167" s="23">
        <f t="shared" si="63"/>
        <v>0</v>
      </c>
      <c r="H167" s="23">
        <f t="shared" si="63"/>
        <v>0</v>
      </c>
      <c r="I167" s="23">
        <f t="shared" si="63"/>
        <v>0</v>
      </c>
      <c r="J167" s="23">
        <f t="shared" si="63"/>
        <v>0</v>
      </c>
      <c r="K167" s="23">
        <f t="shared" si="63"/>
        <v>0</v>
      </c>
      <c r="L167" s="23">
        <f t="shared" si="63"/>
        <v>8.7503067268071208E-3</v>
      </c>
      <c r="M167" s="23">
        <f t="shared" si="63"/>
        <v>2.111351937908346E-8</v>
      </c>
      <c r="N167" s="23">
        <f t="shared" si="63"/>
        <v>2.3084114521131251E-5</v>
      </c>
      <c r="O167" s="23">
        <f t="shared" si="63"/>
        <v>0</v>
      </c>
      <c r="P167" s="26"/>
      <c r="Q167" s="7">
        <f t="shared" si="60"/>
        <v>2.3084114521131251E-5</v>
      </c>
      <c r="R167" s="7">
        <f t="shared" si="60"/>
        <v>8.7503067268071208E-3</v>
      </c>
      <c r="T167" s="8">
        <f>SUM(C167:O167)</f>
        <v>1.0000000000000002</v>
      </c>
    </row>
    <row r="168" spans="2:25" s="11" customFormat="1" ht="15" x14ac:dyDescent="0.25">
      <c r="C168" s="12"/>
      <c r="D168" s="12"/>
      <c r="E168" s="14"/>
      <c r="F168" s="14"/>
      <c r="G168" s="14"/>
      <c r="H168" s="16"/>
      <c r="I168" s="14"/>
      <c r="J168" s="14"/>
      <c r="K168" s="16"/>
      <c r="L168" s="14"/>
      <c r="M168" s="16"/>
      <c r="N168" s="16"/>
      <c r="O168" s="20"/>
      <c r="P168" s="20"/>
      <c r="Y168" s="12"/>
    </row>
    <row r="169" spans="2:25" s="9" customFormat="1" ht="21" x14ac:dyDescent="0.35">
      <c r="B169" s="10" t="s">
        <v>18</v>
      </c>
      <c r="Y169" s="86"/>
    </row>
    <row r="170" spans="2:25" s="32" customFormat="1" ht="15" x14ac:dyDescent="0.25">
      <c r="B170" s="43"/>
      <c r="C170" s="84"/>
      <c r="D170" s="84"/>
      <c r="E170" s="84"/>
      <c r="F170" s="84"/>
      <c r="P170" s="58"/>
      <c r="Y170" s="87"/>
    </row>
    <row r="171" spans="2:25" s="32" customFormat="1" ht="15.75" customHeight="1" x14ac:dyDescent="0.25">
      <c r="B171" s="33" t="s">
        <v>21</v>
      </c>
      <c r="C171" s="93">
        <f>Inputs_Summary!E27</f>
        <v>547</v>
      </c>
      <c r="D171" s="93">
        <f>Inputs_Summary!F27</f>
        <v>0</v>
      </c>
      <c r="E171" s="93">
        <f>Inputs_Summary!G27</f>
        <v>0</v>
      </c>
      <c r="F171" s="93">
        <f>Inputs_Summary!H27</f>
        <v>0</v>
      </c>
      <c r="G171" s="93">
        <f>Inputs_Summary!I27</f>
        <v>0</v>
      </c>
      <c r="H171" s="93">
        <f>Inputs_Summary!J27</f>
        <v>0</v>
      </c>
      <c r="I171" s="93">
        <f>Inputs_Summary!K27</f>
        <v>0</v>
      </c>
      <c r="J171" s="93">
        <f>Inputs_Summary!L27</f>
        <v>0</v>
      </c>
      <c r="K171" s="93">
        <f>Inputs_Summary!M27</f>
        <v>0</v>
      </c>
      <c r="L171" s="93">
        <f>Inputs_Summary!N27</f>
        <v>0</v>
      </c>
      <c r="M171" s="93">
        <f>Inputs_Summary!O27</f>
        <v>0</v>
      </c>
      <c r="N171" s="93">
        <f>Inputs_Summary!P27</f>
        <v>0</v>
      </c>
      <c r="O171" s="93">
        <f>Inputs_Summary!Q27</f>
        <v>0</v>
      </c>
      <c r="P171" s="99"/>
      <c r="Y171" s="87"/>
    </row>
    <row r="172" spans="2:25" s="32" customFormat="1" ht="15" x14ac:dyDescent="0.25">
      <c r="B172" s="33" t="s">
        <v>19</v>
      </c>
      <c r="C172" s="93">
        <f>Inputs_Summary!E28</f>
        <v>650</v>
      </c>
      <c r="D172" s="93">
        <f>Inputs_Summary!F28</f>
        <v>650</v>
      </c>
      <c r="E172" s="93">
        <f>Inputs_Summary!G28</f>
        <v>0</v>
      </c>
      <c r="F172" s="93">
        <f>Inputs_Summary!H28</f>
        <v>161</v>
      </c>
      <c r="G172" s="93">
        <f>Inputs_Summary!I28</f>
        <v>0</v>
      </c>
      <c r="H172" s="93">
        <f>Inputs_Summary!J28</f>
        <v>0</v>
      </c>
      <c r="I172" s="93">
        <f>Inputs_Summary!K28</f>
        <v>0</v>
      </c>
      <c r="J172" s="93">
        <f>Inputs_Summary!L28</f>
        <v>0</v>
      </c>
      <c r="K172" s="93">
        <f>Inputs_Summary!M28</f>
        <v>0</v>
      </c>
      <c r="L172" s="93">
        <f>Inputs_Summary!N28</f>
        <v>0</v>
      </c>
      <c r="M172" s="93">
        <f>Inputs_Summary!O28</f>
        <v>0</v>
      </c>
      <c r="N172" s="93">
        <f>Inputs_Summary!P28</f>
        <v>201</v>
      </c>
      <c r="O172" s="93">
        <f>Inputs_Summary!Q28</f>
        <v>0</v>
      </c>
      <c r="P172" s="99"/>
      <c r="Y172" s="87"/>
    </row>
    <row r="173" spans="2:25" s="32" customFormat="1" ht="15" x14ac:dyDescent="0.25">
      <c r="B173" s="33" t="s">
        <v>20</v>
      </c>
      <c r="C173" s="94">
        <f>Inputs_Summary!E29</f>
        <v>0.26832454873646205</v>
      </c>
      <c r="D173" s="94">
        <f>Inputs_Summary!F29</f>
        <v>0.12287246155234656</v>
      </c>
      <c r="E173" s="94">
        <f>Inputs_Summary!G29</f>
        <v>0.95</v>
      </c>
      <c r="F173" s="94">
        <f>Inputs_Summary!H29</f>
        <v>2.5</v>
      </c>
      <c r="G173" s="94">
        <f>Inputs_Summary!I29</f>
        <v>0.3</v>
      </c>
      <c r="H173" s="94">
        <f>Inputs_Summary!J29</f>
        <v>0.93</v>
      </c>
      <c r="I173" s="94">
        <f>Inputs_Summary!K29</f>
        <v>3.3</v>
      </c>
      <c r="J173" s="94">
        <f>Inputs_Summary!L29</f>
        <v>1.7</v>
      </c>
      <c r="K173" s="94">
        <f>Inputs_Summary!M29</f>
        <v>1.107</v>
      </c>
      <c r="L173" s="94">
        <f>Inputs_Summary!N29</f>
        <v>1.65</v>
      </c>
      <c r="M173" s="94">
        <f>Inputs_Summary!O29</f>
        <v>1.51</v>
      </c>
      <c r="N173" s="94">
        <f>Inputs_Summary!P29</f>
        <v>0.05</v>
      </c>
      <c r="O173" s="94">
        <f>Inputs_Summary!Q29</f>
        <v>0</v>
      </c>
      <c r="P173" s="100"/>
      <c r="Y173" s="87"/>
    </row>
    <row r="174" spans="2:25" s="58" customFormat="1" ht="15" x14ac:dyDescent="0.25">
      <c r="B174" s="67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</row>
    <row r="175" spans="2:25" ht="30" x14ac:dyDescent="0.25">
      <c r="B175" s="43" t="s">
        <v>45</v>
      </c>
      <c r="C175" s="43" t="s">
        <v>0</v>
      </c>
      <c r="D175" s="43" t="s">
        <v>1</v>
      </c>
      <c r="E175" s="43" t="s">
        <v>28</v>
      </c>
      <c r="F175" s="2" t="s">
        <v>29</v>
      </c>
      <c r="G175" s="2" t="s">
        <v>6</v>
      </c>
      <c r="H175" s="43" t="s">
        <v>2</v>
      </c>
      <c r="I175" s="43" t="s">
        <v>3</v>
      </c>
      <c r="J175" s="43" t="s">
        <v>4</v>
      </c>
      <c r="K175" s="43" t="s">
        <v>9</v>
      </c>
      <c r="L175" s="43" t="s">
        <v>8</v>
      </c>
      <c r="M175" s="43" t="s">
        <v>25</v>
      </c>
      <c r="N175" s="43" t="s">
        <v>7</v>
      </c>
      <c r="O175" s="43" t="s">
        <v>89</v>
      </c>
      <c r="P175" s="25"/>
      <c r="Q175" s="43" t="s">
        <v>5</v>
      </c>
      <c r="R175" s="43" t="s">
        <v>91</v>
      </c>
      <c r="T175" s="43" t="s">
        <v>10</v>
      </c>
    </row>
    <row r="176" spans="2:25" ht="15" x14ac:dyDescent="0.25">
      <c r="B176" s="3">
        <v>2016</v>
      </c>
      <c r="C176" s="19">
        <f t="shared" ref="C176:O176" si="64">((C$172+C$171)*C4+C$173*C34*1000)/1000000</f>
        <v>95.4358045170775</v>
      </c>
      <c r="D176" s="19">
        <f t="shared" si="64"/>
        <v>3.0206166863931165</v>
      </c>
      <c r="E176" s="19">
        <f t="shared" si="64"/>
        <v>0.71827291818882821</v>
      </c>
      <c r="F176" s="19">
        <f t="shared" si="64"/>
        <v>5.6112431781664789</v>
      </c>
      <c r="G176" s="19">
        <f t="shared" si="64"/>
        <v>4.7397372806457199</v>
      </c>
      <c r="H176" s="19">
        <f t="shared" si="64"/>
        <v>3.7406611452973988</v>
      </c>
      <c r="I176" s="19">
        <f t="shared" si="64"/>
        <v>2.7313107545794142</v>
      </c>
      <c r="J176" s="19">
        <f t="shared" si="64"/>
        <v>4.4864465988215327</v>
      </c>
      <c r="K176" s="19">
        <f t="shared" si="64"/>
        <v>0</v>
      </c>
      <c r="L176" s="19">
        <f t="shared" si="64"/>
        <v>2.6131623050841757</v>
      </c>
      <c r="M176" s="19">
        <f t="shared" si="64"/>
        <v>0</v>
      </c>
      <c r="N176" s="19">
        <f t="shared" si="64"/>
        <v>0.46729964879989472</v>
      </c>
      <c r="O176" s="19">
        <f t="shared" si="64"/>
        <v>0</v>
      </c>
      <c r="P176" s="62"/>
      <c r="Q176" s="39">
        <f>G176+N176</f>
        <v>5.2070369294456142</v>
      </c>
      <c r="R176" s="5">
        <f>SUM(K176:L176)</f>
        <v>2.6131623050841757</v>
      </c>
      <c r="T176" s="5">
        <f>SUM(C176:O176)</f>
        <v>123.56455503305405</v>
      </c>
    </row>
    <row r="177" spans="2:25" ht="15" x14ac:dyDescent="0.25">
      <c r="B177" s="3">
        <v>2030</v>
      </c>
      <c r="C177" s="19">
        <f t="shared" ref="C177:O177" si="65">((C$172+C$171)*C5+C$173*C35*1000)/1000000</f>
        <v>63.125080765379415</v>
      </c>
      <c r="D177" s="19">
        <f t="shared" si="65"/>
        <v>3.0056764962422364</v>
      </c>
      <c r="E177" s="19">
        <f t="shared" si="65"/>
        <v>2.1142955073189911</v>
      </c>
      <c r="F177" s="19">
        <f t="shared" si="65"/>
        <v>0.75548931239632544</v>
      </c>
      <c r="G177" s="19">
        <f t="shared" si="65"/>
        <v>3.88547315624534</v>
      </c>
      <c r="H177" s="19">
        <f t="shared" si="65"/>
        <v>3.8938879075287516</v>
      </c>
      <c r="I177" s="19">
        <f t="shared" si="65"/>
        <v>2.7735020230121097</v>
      </c>
      <c r="J177" s="19">
        <f t="shared" si="65"/>
        <v>4.4597161832223255</v>
      </c>
      <c r="K177" s="19">
        <f t="shared" si="65"/>
        <v>0</v>
      </c>
      <c r="L177" s="19">
        <f t="shared" si="65"/>
        <v>2.5967922460604882</v>
      </c>
      <c r="M177" s="19">
        <f t="shared" si="65"/>
        <v>0</v>
      </c>
      <c r="N177" s="19">
        <f t="shared" si="65"/>
        <v>0.43038866569032774</v>
      </c>
      <c r="O177" s="19">
        <f t="shared" si="65"/>
        <v>0</v>
      </c>
      <c r="P177" s="62"/>
      <c r="Q177" s="39">
        <f>G177+N177</f>
        <v>4.3158618219356679</v>
      </c>
      <c r="R177" s="5">
        <f>SUM(K177:L177)</f>
        <v>2.5967922460604882</v>
      </c>
      <c r="T177" s="5">
        <f>SUM(C177:O177)</f>
        <v>87.040302263096308</v>
      </c>
    </row>
    <row r="178" spans="2:25" ht="15" x14ac:dyDescent="0.25">
      <c r="B178" s="3">
        <v>2040</v>
      </c>
      <c r="C178" s="19">
        <f t="shared" ref="C178:O178" si="66">((C$172+C$171)*C6+C$173*C36*1000)/1000000</f>
        <v>20.820343994143776</v>
      </c>
      <c r="D178" s="19">
        <f t="shared" si="66"/>
        <v>3.0151985434461106</v>
      </c>
      <c r="E178" s="19">
        <f t="shared" si="66"/>
        <v>2.1198095581230736</v>
      </c>
      <c r="F178" s="19">
        <f t="shared" si="66"/>
        <v>0.37771245890210847</v>
      </c>
      <c r="G178" s="19">
        <f t="shared" si="66"/>
        <v>3.8628354949434902</v>
      </c>
      <c r="H178" s="19">
        <f t="shared" si="66"/>
        <v>0</v>
      </c>
      <c r="I178" s="19">
        <f t="shared" si="66"/>
        <v>2.78369988872858</v>
      </c>
      <c r="J178" s="19">
        <f t="shared" si="66"/>
        <v>1.3196464732244688</v>
      </c>
      <c r="K178" s="19">
        <f t="shared" si="66"/>
        <v>0</v>
      </c>
      <c r="L178" s="19">
        <f t="shared" si="66"/>
        <v>2.6793111429012586</v>
      </c>
      <c r="M178" s="19">
        <f t="shared" si="66"/>
        <v>0</v>
      </c>
      <c r="N178" s="19">
        <f t="shared" si="66"/>
        <v>0.42126579130996605</v>
      </c>
      <c r="O178" s="19">
        <f t="shared" si="66"/>
        <v>0</v>
      </c>
      <c r="P178" s="62"/>
      <c r="Q178" s="39">
        <f>G178+N178</f>
        <v>4.2841012862534562</v>
      </c>
      <c r="R178" s="5">
        <f>SUM(K178:L178)</f>
        <v>2.6793111429012586</v>
      </c>
      <c r="T178" s="5">
        <f>SUM(C178:O178)</f>
        <v>37.399823345722822</v>
      </c>
    </row>
    <row r="179" spans="2:25" ht="15" x14ac:dyDescent="0.25">
      <c r="B179" s="3">
        <v>2050</v>
      </c>
      <c r="C179" s="19">
        <f t="shared" ref="C179:O179" si="67">((C$172+C$171)*C7+C$173*C37*1000)/1000000</f>
        <v>0.80198999999999998</v>
      </c>
      <c r="D179" s="19">
        <f t="shared" si="67"/>
        <v>0</v>
      </c>
      <c r="E179" s="19">
        <f t="shared" si="67"/>
        <v>2.1065883021203557</v>
      </c>
      <c r="F179" s="19">
        <f t="shared" si="67"/>
        <v>0</v>
      </c>
      <c r="G179" s="19">
        <f t="shared" si="67"/>
        <v>3.8458046194744266</v>
      </c>
      <c r="H179" s="19">
        <f t="shared" si="67"/>
        <v>0</v>
      </c>
      <c r="I179" s="19">
        <f t="shared" si="67"/>
        <v>0</v>
      </c>
      <c r="J179" s="19">
        <f t="shared" si="67"/>
        <v>0</v>
      </c>
      <c r="K179" s="19">
        <f t="shared" si="67"/>
        <v>0</v>
      </c>
      <c r="L179" s="19">
        <f t="shared" si="67"/>
        <v>2.6211126109786211</v>
      </c>
      <c r="M179" s="19">
        <f t="shared" si="67"/>
        <v>0</v>
      </c>
      <c r="N179" s="19">
        <f t="shared" si="67"/>
        <v>0.42026097856764033</v>
      </c>
      <c r="O179" s="19">
        <f t="shared" si="67"/>
        <v>0</v>
      </c>
      <c r="P179" s="62"/>
      <c r="Q179" s="39">
        <f>G179+N179</f>
        <v>4.2660655980420668</v>
      </c>
      <c r="R179" s="5">
        <f>SUM(K179:L179)</f>
        <v>2.6211126109786211</v>
      </c>
      <c r="T179" s="5">
        <f>SUM(C179:O179)</f>
        <v>9.7957565111410432</v>
      </c>
    </row>
    <row r="180" spans="2:25" ht="15" x14ac:dyDescent="0.25">
      <c r="B180" s="43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69"/>
      <c r="Q180" s="5"/>
      <c r="R180" s="5"/>
      <c r="S180" s="5"/>
      <c r="T180" s="5"/>
    </row>
    <row r="181" spans="2:25" s="32" customFormat="1" ht="15.75" customHeight="1" x14ac:dyDescent="0.25">
      <c r="B181" s="33" t="s">
        <v>21</v>
      </c>
      <c r="C181" s="93">
        <f>Inputs_Summary!E32</f>
        <v>4602</v>
      </c>
      <c r="D181" s="93">
        <f>Inputs_Summary!F32</f>
        <v>6454.9045250562804</v>
      </c>
      <c r="E181" s="93">
        <f>Inputs_Summary!G32</f>
        <v>901.10972649676557</v>
      </c>
      <c r="F181" s="93">
        <f>Inputs_Summary!H32</f>
        <v>794.35459770843181</v>
      </c>
      <c r="G181" s="93">
        <f>Inputs_Summary!I32</f>
        <v>0</v>
      </c>
      <c r="H181" s="93">
        <f>Inputs_Summary!J32</f>
        <v>0</v>
      </c>
      <c r="I181" s="93">
        <f>Inputs_Summary!K32</f>
        <v>0</v>
      </c>
      <c r="J181" s="93">
        <f>Inputs_Summary!L32</f>
        <v>0</v>
      </c>
      <c r="K181" s="93">
        <f>Inputs_Summary!M32</f>
        <v>2810</v>
      </c>
      <c r="L181" s="93">
        <f>Inputs_Summary!N32</f>
        <v>0</v>
      </c>
      <c r="M181" s="93">
        <f>Inputs_Summary!O32</f>
        <v>0</v>
      </c>
      <c r="N181" s="93">
        <f>Inputs_Summary!P32</f>
        <v>2328.2524449730454</v>
      </c>
      <c r="O181" s="93">
        <f>Inputs_Summary!Q32</f>
        <v>0</v>
      </c>
      <c r="P181" s="99"/>
      <c r="Y181" s="87"/>
    </row>
    <row r="182" spans="2:25" s="32" customFormat="1" ht="15" x14ac:dyDescent="0.25">
      <c r="B182" s="33" t="s">
        <v>19</v>
      </c>
      <c r="C182" s="93">
        <f>Inputs_Summary!E33</f>
        <v>924</v>
      </c>
      <c r="D182" s="93">
        <f>Inputs_Summary!F33</f>
        <v>968.06859205776175</v>
      </c>
      <c r="E182" s="93">
        <f>Inputs_Summary!G33</f>
        <v>165.17328519855596</v>
      </c>
      <c r="F182" s="93">
        <f>Inputs_Summary!H33</f>
        <v>160.79783393501805</v>
      </c>
      <c r="G182" s="93">
        <f>Inputs_Summary!I33</f>
        <v>0</v>
      </c>
      <c r="H182" s="93">
        <f>Inputs_Summary!J33</f>
        <v>0</v>
      </c>
      <c r="I182" s="93">
        <f>Inputs_Summary!K33</f>
        <v>0</v>
      </c>
      <c r="J182" s="93">
        <f>Inputs_Summary!L33</f>
        <v>0</v>
      </c>
      <c r="K182" s="93">
        <f>Inputs_Summary!M33</f>
        <v>2373</v>
      </c>
      <c r="L182" s="93">
        <f>Inputs_Summary!N33</f>
        <v>0</v>
      </c>
      <c r="M182" s="93">
        <f>Inputs_Summary!O33</f>
        <v>0</v>
      </c>
      <c r="N182" s="93">
        <f>Inputs_Summary!P33</f>
        <v>201.27075812274367</v>
      </c>
      <c r="O182" s="93">
        <f>Inputs_Summary!Q33</f>
        <v>0</v>
      </c>
      <c r="P182" s="99"/>
      <c r="Y182" s="87"/>
    </row>
    <row r="183" spans="2:25" s="32" customFormat="1" ht="15" x14ac:dyDescent="0.25">
      <c r="B183" s="33" t="s">
        <v>20</v>
      </c>
      <c r="C183" s="93">
        <f>Inputs_Summary!E34</f>
        <v>0.36168632057761729</v>
      </c>
      <c r="D183" s="93">
        <f>Inputs_Summary!F34</f>
        <v>0.12287246155234656</v>
      </c>
      <c r="E183" s="93">
        <f>Inputs_Summary!G34</f>
        <v>1.1311272563176895</v>
      </c>
      <c r="F183" s="93">
        <f>Inputs_Summary!H34</f>
        <v>1.730256498194946</v>
      </c>
      <c r="G183" s="93">
        <f>Inputs_Summary!I34</f>
        <v>1.24</v>
      </c>
      <c r="H183" s="93">
        <f>Inputs_Summary!J34</f>
        <v>0.70507456548359604</v>
      </c>
      <c r="I183" s="93">
        <f>Inputs_Summary!K34</f>
        <v>2.2907692307692309</v>
      </c>
      <c r="J183" s="93">
        <f>Inputs_Summary!L34</f>
        <v>0.79657730380457292</v>
      </c>
      <c r="K183" s="93">
        <f>Inputs_Summary!M34</f>
        <v>0.09</v>
      </c>
      <c r="L183" s="93">
        <f>Inputs_Summary!N34</f>
        <v>1.61</v>
      </c>
      <c r="M183" s="93">
        <f>Inputs_Summary!O34</f>
        <v>1.51</v>
      </c>
      <c r="N183" s="93">
        <f>Inputs_Summary!P34</f>
        <v>0</v>
      </c>
      <c r="O183" s="93">
        <f>Inputs_Summary!Q34</f>
        <v>0</v>
      </c>
      <c r="P183" s="99"/>
      <c r="Y183" s="87"/>
    </row>
    <row r="184" spans="2:25" s="58" customFormat="1" ht="15" x14ac:dyDescent="0.25">
      <c r="B184" s="67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</row>
    <row r="185" spans="2:25" ht="30" x14ac:dyDescent="0.25">
      <c r="B185" s="43" t="s">
        <v>46</v>
      </c>
      <c r="C185" s="43" t="s">
        <v>0</v>
      </c>
      <c r="D185" s="43" t="s">
        <v>1</v>
      </c>
      <c r="E185" s="43" t="s">
        <v>28</v>
      </c>
      <c r="F185" s="2" t="s">
        <v>29</v>
      </c>
      <c r="G185" s="2" t="s">
        <v>6</v>
      </c>
      <c r="H185" s="43" t="s">
        <v>2</v>
      </c>
      <c r="I185" s="43" t="s">
        <v>3</v>
      </c>
      <c r="J185" s="43" t="s">
        <v>4</v>
      </c>
      <c r="K185" s="43" t="s">
        <v>9</v>
      </c>
      <c r="L185" s="43" t="s">
        <v>8</v>
      </c>
      <c r="M185" s="43" t="s">
        <v>25</v>
      </c>
      <c r="N185" s="43" t="s">
        <v>7</v>
      </c>
      <c r="O185" s="43" t="s">
        <v>89</v>
      </c>
      <c r="P185" s="25"/>
      <c r="Q185" s="43" t="s">
        <v>5</v>
      </c>
      <c r="R185" s="43" t="s">
        <v>91</v>
      </c>
      <c r="T185" s="43" t="s">
        <v>10</v>
      </c>
    </row>
    <row r="186" spans="2:25" ht="15" x14ac:dyDescent="0.25">
      <c r="B186" s="3">
        <v>2016</v>
      </c>
      <c r="C186" s="19">
        <f t="shared" ref="C186:O186" si="68">((C$182+C$181)*C10+C$183*C40*1000)/1000000</f>
        <v>5.8476522671001927</v>
      </c>
      <c r="D186" s="19">
        <f t="shared" si="68"/>
        <v>0</v>
      </c>
      <c r="E186" s="19">
        <f t="shared" si="68"/>
        <v>0</v>
      </c>
      <c r="F186" s="19">
        <f t="shared" si="68"/>
        <v>0</v>
      </c>
      <c r="G186" s="19">
        <f t="shared" si="68"/>
        <v>0</v>
      </c>
      <c r="H186" s="19">
        <f t="shared" si="68"/>
        <v>0.33440904252740183</v>
      </c>
      <c r="I186" s="19">
        <f t="shared" si="68"/>
        <v>0.19179026548387781</v>
      </c>
      <c r="J186" s="19">
        <f t="shared" si="68"/>
        <v>0</v>
      </c>
      <c r="K186" s="19">
        <f t="shared" si="68"/>
        <v>0</v>
      </c>
      <c r="L186" s="19">
        <f t="shared" si="68"/>
        <v>6.1986881863953201E-2</v>
      </c>
      <c r="M186" s="19">
        <f t="shared" si="68"/>
        <v>0</v>
      </c>
      <c r="N186" s="19">
        <f t="shared" si="68"/>
        <v>0</v>
      </c>
      <c r="O186" s="19">
        <f t="shared" si="68"/>
        <v>0</v>
      </c>
      <c r="P186" s="62"/>
      <c r="Q186" s="39">
        <f>G186+N186</f>
        <v>0</v>
      </c>
      <c r="R186" s="5">
        <f>SUM(K186:L186)</f>
        <v>6.1986881863953201E-2</v>
      </c>
      <c r="T186" s="5">
        <f>SUM(C186:O186)</f>
        <v>6.4358384569754259</v>
      </c>
    </row>
    <row r="187" spans="2:25" ht="15" x14ac:dyDescent="0.25">
      <c r="B187" s="3">
        <v>2030</v>
      </c>
      <c r="C187" s="19">
        <f t="shared" ref="C187:O187" si="69">((C$182+C$181)*C11+C$183*C41*1000)/1000000</f>
        <v>78.362789628631731</v>
      </c>
      <c r="D187" s="19">
        <f t="shared" si="69"/>
        <v>0</v>
      </c>
      <c r="E187" s="19">
        <f t="shared" si="69"/>
        <v>0</v>
      </c>
      <c r="F187" s="19">
        <f t="shared" si="69"/>
        <v>0</v>
      </c>
      <c r="G187" s="19">
        <f t="shared" si="69"/>
        <v>0.24156965987429688</v>
      </c>
      <c r="H187" s="19">
        <f t="shared" si="69"/>
        <v>6.3300005547245863</v>
      </c>
      <c r="I187" s="19">
        <f t="shared" si="69"/>
        <v>9.6521457556333559</v>
      </c>
      <c r="J187" s="19">
        <f t="shared" si="69"/>
        <v>1.8825273629127215</v>
      </c>
      <c r="K187" s="19">
        <f t="shared" si="69"/>
        <v>0.30664445578138394</v>
      </c>
      <c r="L187" s="19">
        <f t="shared" si="69"/>
        <v>1.6503622198936245</v>
      </c>
      <c r="M187" s="19">
        <f t="shared" si="69"/>
        <v>0</v>
      </c>
      <c r="N187" s="19">
        <f t="shared" si="69"/>
        <v>3.3693249065235911</v>
      </c>
      <c r="O187" s="19">
        <f t="shared" si="69"/>
        <v>0</v>
      </c>
      <c r="P187" s="62"/>
      <c r="Q187" s="39">
        <f>G187+N187</f>
        <v>3.6108945663978878</v>
      </c>
      <c r="R187" s="5">
        <f>SUM(K187:L187)</f>
        <v>1.9570066756750084</v>
      </c>
      <c r="T187" s="5">
        <f>SUM(C187:O187)</f>
        <v>101.7953645439753</v>
      </c>
    </row>
    <row r="188" spans="2:25" ht="15" x14ac:dyDescent="0.25">
      <c r="B188" s="3">
        <v>2040</v>
      </c>
      <c r="C188" s="19">
        <f t="shared" ref="C188:O188" si="70">((C$182+C$181)*C12+C$183*C42*1000)/1000000</f>
        <v>79.482887682200229</v>
      </c>
      <c r="D188" s="19">
        <f t="shared" si="70"/>
        <v>0</v>
      </c>
      <c r="E188" s="19">
        <f t="shared" si="70"/>
        <v>0</v>
      </c>
      <c r="F188" s="19">
        <f t="shared" si="70"/>
        <v>0</v>
      </c>
      <c r="G188" s="19">
        <f t="shared" si="70"/>
        <v>0.24282057470944104</v>
      </c>
      <c r="H188" s="19">
        <f t="shared" si="70"/>
        <v>0</v>
      </c>
      <c r="I188" s="19">
        <f t="shared" si="70"/>
        <v>9.6710412258119991</v>
      </c>
      <c r="J188" s="19">
        <f t="shared" si="70"/>
        <v>1.8934566752164417</v>
      </c>
      <c r="K188" s="19">
        <f t="shared" si="70"/>
        <v>0.30678385261359242</v>
      </c>
      <c r="L188" s="19">
        <f t="shared" si="70"/>
        <v>1.6588320700559855</v>
      </c>
      <c r="M188" s="19">
        <f t="shared" si="70"/>
        <v>0</v>
      </c>
      <c r="N188" s="19">
        <f t="shared" si="70"/>
        <v>3.3693249065235911</v>
      </c>
      <c r="O188" s="19">
        <f t="shared" si="70"/>
        <v>0</v>
      </c>
      <c r="P188" s="62"/>
      <c r="Q188" s="39">
        <f>G188+N188</f>
        <v>3.612145481233032</v>
      </c>
      <c r="R188" s="5">
        <f>SUM(K188:L188)</f>
        <v>1.965615922669578</v>
      </c>
      <c r="T188" s="5">
        <f>SUM(C188:O188)</f>
        <v>96.625146987131274</v>
      </c>
    </row>
    <row r="189" spans="2:25" ht="15" x14ac:dyDescent="0.25">
      <c r="B189" s="3">
        <v>2050</v>
      </c>
      <c r="C189" s="19">
        <f t="shared" ref="C189:O189" si="71">((C$182+C$181)*C13+C$183*C43*1000)/1000000</f>
        <v>78.747592224518556</v>
      </c>
      <c r="D189" s="19">
        <f t="shared" si="71"/>
        <v>0</v>
      </c>
      <c r="E189" s="19">
        <f t="shared" si="71"/>
        <v>0</v>
      </c>
      <c r="F189" s="19">
        <f t="shared" si="71"/>
        <v>0</v>
      </c>
      <c r="G189" s="19">
        <f t="shared" si="71"/>
        <v>0.23975855847904926</v>
      </c>
      <c r="H189" s="19">
        <f t="shared" si="71"/>
        <v>0</v>
      </c>
      <c r="I189" s="19">
        <f t="shared" si="71"/>
        <v>0</v>
      </c>
      <c r="J189" s="19">
        <f t="shared" si="71"/>
        <v>0</v>
      </c>
      <c r="K189" s="19">
        <f t="shared" si="71"/>
        <v>0</v>
      </c>
      <c r="L189" s="19">
        <f t="shared" si="71"/>
        <v>0</v>
      </c>
      <c r="M189" s="19">
        <f t="shared" si="71"/>
        <v>0</v>
      </c>
      <c r="N189" s="19">
        <f t="shared" si="71"/>
        <v>3.3693249065235911</v>
      </c>
      <c r="O189" s="19">
        <f t="shared" si="71"/>
        <v>0</v>
      </c>
      <c r="P189" s="62"/>
      <c r="Q189" s="39">
        <f>G189+N189</f>
        <v>3.6090834650026404</v>
      </c>
      <c r="R189" s="5">
        <f>SUM(K189:L189)</f>
        <v>0</v>
      </c>
      <c r="T189" s="5">
        <f>SUM(C189:O189)</f>
        <v>82.356675689521197</v>
      </c>
    </row>
    <row r="190" spans="2:25" ht="15" x14ac:dyDescent="0.25"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69"/>
      <c r="Q190" s="5"/>
      <c r="R190" s="5"/>
      <c r="S190" s="5"/>
      <c r="T190" s="5"/>
    </row>
    <row r="191" spans="2:25" ht="15" x14ac:dyDescent="0.25">
      <c r="Q191" s="5"/>
      <c r="R191" s="5"/>
      <c r="S191" s="5"/>
      <c r="T191" s="5"/>
      <c r="W191" s="5"/>
    </row>
    <row r="192" spans="2:25" ht="15" x14ac:dyDescent="0.25">
      <c r="B192" s="33" t="s">
        <v>21</v>
      </c>
      <c r="C192" s="95">
        <f>Inputs_Summary!E37</f>
        <v>3559.4976938012715</v>
      </c>
      <c r="D192" s="81">
        <f>Inputs_Summary!F37</f>
        <v>6454.9045250562804</v>
      </c>
      <c r="E192" s="95">
        <f>Inputs_Summary!G37</f>
        <v>901.10972649676557</v>
      </c>
      <c r="F192" s="95">
        <f>Inputs_Summary!H37</f>
        <v>794.35459770843181</v>
      </c>
      <c r="G192" s="95">
        <f>Inputs_Summary!I37</f>
        <v>5564</v>
      </c>
      <c r="H192" s="95">
        <f>Inputs_Summary!J37</f>
        <v>1911</v>
      </c>
      <c r="I192" s="95">
        <f>Inputs_Summary!K37</f>
        <v>10206</v>
      </c>
      <c r="J192" s="95">
        <f>Inputs_Summary!L37</f>
        <v>1073</v>
      </c>
      <c r="K192" s="95">
        <f>Inputs_Summary!M37</f>
        <v>1154.0789960129314</v>
      </c>
      <c r="L192" s="95">
        <f>Inputs_Summary!N37</f>
        <v>4395</v>
      </c>
      <c r="M192" s="95">
        <f>Inputs_Summary!O37</f>
        <v>0</v>
      </c>
      <c r="N192" s="95">
        <f>Inputs_Summary!P37</f>
        <v>2328.2524449730454</v>
      </c>
      <c r="O192" s="95">
        <f>Inputs_Summary!Q37</f>
        <v>2512</v>
      </c>
      <c r="P192" s="101"/>
      <c r="Q192" s="5"/>
      <c r="R192" s="5"/>
      <c r="S192" s="5"/>
      <c r="T192" s="5"/>
    </row>
    <row r="193" spans="1:25" ht="15" x14ac:dyDescent="0.25">
      <c r="B193" s="3">
        <v>2030</v>
      </c>
      <c r="C193" s="95">
        <f>Inputs_Summary!E38</f>
        <v>3559.4976938012715</v>
      </c>
      <c r="D193" s="81">
        <f>Inputs_Summary!F38</f>
        <v>6281</v>
      </c>
      <c r="E193" s="95">
        <f>Inputs_Summary!G38</f>
        <v>901.10972649676557</v>
      </c>
      <c r="F193" s="95">
        <f>Inputs_Summary!H38</f>
        <v>794.35459770843181</v>
      </c>
      <c r="G193" s="95">
        <f>Inputs_Summary!I38</f>
        <v>5564</v>
      </c>
      <c r="H193" s="95">
        <f>Inputs_Summary!J38</f>
        <v>1911</v>
      </c>
      <c r="I193" s="95">
        <f>Inputs_Summary!K38</f>
        <v>8246</v>
      </c>
      <c r="J193" s="95">
        <f>Inputs_Summary!L38</f>
        <v>967</v>
      </c>
      <c r="K193" s="95">
        <f>Inputs_Summary!M38</f>
        <v>1154.0789960129314</v>
      </c>
      <c r="L193" s="95">
        <f>Inputs_Summary!N38</f>
        <v>4395</v>
      </c>
      <c r="M193" s="95">
        <f>Inputs_Summary!O38</f>
        <v>0</v>
      </c>
      <c r="N193" s="95">
        <f>Inputs_Summary!P38</f>
        <v>2328.2524449730454</v>
      </c>
      <c r="O193" s="95">
        <f>Inputs_Summary!Q38</f>
        <v>2512</v>
      </c>
      <c r="P193" s="101"/>
      <c r="Q193" s="5"/>
      <c r="R193" s="5"/>
      <c r="S193" s="5"/>
      <c r="T193" s="5"/>
    </row>
    <row r="194" spans="1:25" ht="15" x14ac:dyDescent="0.25">
      <c r="B194" s="3">
        <v>2040</v>
      </c>
      <c r="C194" s="95">
        <f>Inputs_Summary!E39</f>
        <v>3559.4976938012715</v>
      </c>
      <c r="D194" s="81">
        <f>Inputs_Summary!F39</f>
        <v>6281</v>
      </c>
      <c r="E194" s="95">
        <f>Inputs_Summary!G39</f>
        <v>901.10972649676557</v>
      </c>
      <c r="F194" s="95">
        <f>Inputs_Summary!H39</f>
        <v>794.35459770843181</v>
      </c>
      <c r="G194" s="95">
        <f>Inputs_Summary!I39</f>
        <v>5564</v>
      </c>
      <c r="H194" s="95">
        <f>Inputs_Summary!J39</f>
        <v>1911</v>
      </c>
      <c r="I194" s="95">
        <f>Inputs_Summary!K39</f>
        <v>7196</v>
      </c>
      <c r="J194" s="95">
        <f>Inputs_Summary!L39</f>
        <v>911</v>
      </c>
      <c r="K194" s="95">
        <f>Inputs_Summary!M39</f>
        <v>1154.0789960129314</v>
      </c>
      <c r="L194" s="95">
        <f>Inputs_Summary!N39</f>
        <v>4395</v>
      </c>
      <c r="M194" s="95">
        <f>Inputs_Summary!O39</f>
        <v>0</v>
      </c>
      <c r="N194" s="95">
        <f>Inputs_Summary!P39</f>
        <v>2328.2524449730454</v>
      </c>
      <c r="O194" s="95">
        <f>Inputs_Summary!Q39</f>
        <v>2512</v>
      </c>
      <c r="P194" s="101"/>
      <c r="Q194" s="5"/>
      <c r="R194" s="5"/>
      <c r="S194" s="5"/>
      <c r="T194" s="5"/>
    </row>
    <row r="195" spans="1:25" ht="15" x14ac:dyDescent="0.25">
      <c r="B195" s="3">
        <v>2050</v>
      </c>
      <c r="C195" s="95">
        <f>Inputs_Summary!E40</f>
        <v>3559.4976938012715</v>
      </c>
      <c r="D195" s="81">
        <f>Inputs_Summary!F40</f>
        <v>6281</v>
      </c>
      <c r="E195" s="95">
        <f>Inputs_Summary!G40</f>
        <v>901.10972649676557</v>
      </c>
      <c r="F195" s="95">
        <f>Inputs_Summary!H40</f>
        <v>794.35459770843181</v>
      </c>
      <c r="G195" s="95">
        <f>Inputs_Summary!I40</f>
        <v>5564</v>
      </c>
      <c r="H195" s="95">
        <f>Inputs_Summary!J40</f>
        <v>1911</v>
      </c>
      <c r="I195" s="95">
        <f>Inputs_Summary!K40</f>
        <v>6146</v>
      </c>
      <c r="J195" s="95">
        <f>Inputs_Summary!L40</f>
        <v>854</v>
      </c>
      <c r="K195" s="95">
        <f>Inputs_Summary!M40</f>
        <v>1154.0789960129314</v>
      </c>
      <c r="L195" s="95">
        <f>Inputs_Summary!N40</f>
        <v>4395</v>
      </c>
      <c r="M195" s="95">
        <f>Inputs_Summary!O40</f>
        <v>0</v>
      </c>
      <c r="N195" s="95">
        <f>Inputs_Summary!P40</f>
        <v>2328.2524449730454</v>
      </c>
      <c r="O195" s="95">
        <f>Inputs_Summary!Q40</f>
        <v>2512</v>
      </c>
      <c r="P195" s="101"/>
      <c r="Q195" s="5"/>
      <c r="R195" s="5"/>
      <c r="S195" s="5"/>
      <c r="T195" s="5"/>
    </row>
    <row r="196" spans="1:25" s="32" customFormat="1" ht="15" x14ac:dyDescent="0.25">
      <c r="B196" s="33" t="s">
        <v>19</v>
      </c>
      <c r="C196" s="95">
        <f>Inputs_Summary!E41</f>
        <v>924</v>
      </c>
      <c r="D196" s="95">
        <f>Inputs_Summary!F41</f>
        <v>968.06859205776175</v>
      </c>
      <c r="E196" s="95">
        <f>Inputs_Summary!G41</f>
        <v>165.17328519855596</v>
      </c>
      <c r="F196" s="95">
        <f>Inputs_Summary!H41</f>
        <v>160.79783393501805</v>
      </c>
      <c r="G196" s="95">
        <f>Inputs_Summary!I41</f>
        <v>907.42483754512637</v>
      </c>
      <c r="H196" s="95">
        <f>Inputs_Summary!J41</f>
        <v>0</v>
      </c>
      <c r="I196" s="95">
        <f>Inputs_Summary!K41</f>
        <v>0</v>
      </c>
      <c r="J196" s="95">
        <f>Inputs_Summary!L41</f>
        <v>0</v>
      </c>
      <c r="K196" s="95">
        <f>Inputs_Summary!M41</f>
        <v>422</v>
      </c>
      <c r="L196" s="95">
        <f>Inputs_Summary!N41</f>
        <v>1655.0144404332129</v>
      </c>
      <c r="M196" s="95">
        <f>Inputs_Summary!O41</f>
        <v>0</v>
      </c>
      <c r="N196" s="95">
        <f>Inputs_Summary!P41</f>
        <v>201.27075812274367</v>
      </c>
      <c r="O196" s="95">
        <f>Inputs_Summary!Q41</f>
        <v>618</v>
      </c>
      <c r="P196" s="101"/>
      <c r="Y196" s="87"/>
    </row>
    <row r="197" spans="1:25" ht="15" x14ac:dyDescent="0.25">
      <c r="B197" s="3">
        <v>2030</v>
      </c>
      <c r="C197" s="95">
        <f>Inputs_Summary!E42</f>
        <v>924</v>
      </c>
      <c r="D197" s="95">
        <f>Inputs_Summary!F42</f>
        <v>968.06859205776175</v>
      </c>
      <c r="E197" s="95">
        <f>Inputs_Summary!G42</f>
        <v>165.17328519855596</v>
      </c>
      <c r="F197" s="95">
        <f>Inputs_Summary!H42</f>
        <v>160.79783393501805</v>
      </c>
      <c r="G197" s="95">
        <f>Inputs_Summary!I42</f>
        <v>907.42483754512637</v>
      </c>
      <c r="H197" s="95">
        <f>Inputs_Summary!J42</f>
        <v>0</v>
      </c>
      <c r="I197" s="95">
        <f>Inputs_Summary!K42</f>
        <v>0</v>
      </c>
      <c r="J197" s="95">
        <f>Inputs_Summary!L42</f>
        <v>0</v>
      </c>
      <c r="K197" s="95">
        <f>Inputs_Summary!M42</f>
        <v>422</v>
      </c>
      <c r="L197" s="95">
        <f>Inputs_Summary!N42</f>
        <v>1655.0144404332129</v>
      </c>
      <c r="M197" s="95">
        <f>Inputs_Summary!O42</f>
        <v>0</v>
      </c>
      <c r="N197" s="95">
        <f>Inputs_Summary!P42</f>
        <v>201.27075812274367</v>
      </c>
      <c r="O197" s="95">
        <f>Inputs_Summary!Q42</f>
        <v>618</v>
      </c>
      <c r="P197" s="101"/>
      <c r="Q197" s="5"/>
      <c r="R197" s="5"/>
      <c r="S197" s="5"/>
      <c r="T197" s="5"/>
    </row>
    <row r="198" spans="1:25" ht="15" x14ac:dyDescent="0.25">
      <c r="B198" s="3">
        <v>2040</v>
      </c>
      <c r="C198" s="95">
        <f>Inputs_Summary!E43</f>
        <v>924</v>
      </c>
      <c r="D198" s="95">
        <f>Inputs_Summary!F43</f>
        <v>968.06859205776175</v>
      </c>
      <c r="E198" s="95">
        <f>Inputs_Summary!G43</f>
        <v>165.17328519855596</v>
      </c>
      <c r="F198" s="95">
        <f>Inputs_Summary!H43</f>
        <v>160.79783393501805</v>
      </c>
      <c r="G198" s="95">
        <f>Inputs_Summary!I43</f>
        <v>907.42483754512637</v>
      </c>
      <c r="H198" s="95">
        <f>Inputs_Summary!J43</f>
        <v>0</v>
      </c>
      <c r="I198" s="95">
        <f>Inputs_Summary!K43</f>
        <v>0</v>
      </c>
      <c r="J198" s="95">
        <f>Inputs_Summary!L43</f>
        <v>0</v>
      </c>
      <c r="K198" s="95">
        <f>Inputs_Summary!M43</f>
        <v>422</v>
      </c>
      <c r="L198" s="95">
        <f>Inputs_Summary!N43</f>
        <v>1655.0144404332129</v>
      </c>
      <c r="M198" s="95">
        <f>Inputs_Summary!O43</f>
        <v>0</v>
      </c>
      <c r="N198" s="95">
        <f>Inputs_Summary!P43</f>
        <v>201.27075812274367</v>
      </c>
      <c r="O198" s="95">
        <f>Inputs_Summary!Q43</f>
        <v>618</v>
      </c>
      <c r="P198" s="101"/>
      <c r="Q198" s="5"/>
      <c r="R198" s="5"/>
      <c r="S198" s="5"/>
      <c r="T198" s="5"/>
    </row>
    <row r="199" spans="1:25" ht="15" x14ac:dyDescent="0.25">
      <c r="B199" s="3">
        <v>2050</v>
      </c>
      <c r="C199" s="95">
        <f>Inputs_Summary!E44</f>
        <v>924</v>
      </c>
      <c r="D199" s="95">
        <f>Inputs_Summary!F44</f>
        <v>968.06859205776175</v>
      </c>
      <c r="E199" s="95">
        <f>Inputs_Summary!G44</f>
        <v>165.17328519855596</v>
      </c>
      <c r="F199" s="95">
        <f>Inputs_Summary!H44</f>
        <v>160.79783393501805</v>
      </c>
      <c r="G199" s="95">
        <f>Inputs_Summary!I44</f>
        <v>907.42483754512637</v>
      </c>
      <c r="H199" s="95">
        <f>Inputs_Summary!J44</f>
        <v>0</v>
      </c>
      <c r="I199" s="95">
        <f>Inputs_Summary!K44</f>
        <v>0</v>
      </c>
      <c r="J199" s="95">
        <f>Inputs_Summary!L44</f>
        <v>0</v>
      </c>
      <c r="K199" s="95">
        <f>Inputs_Summary!M44</f>
        <v>422</v>
      </c>
      <c r="L199" s="95">
        <f>Inputs_Summary!N44</f>
        <v>1655.0144404332129</v>
      </c>
      <c r="M199" s="95">
        <f>Inputs_Summary!O44</f>
        <v>0</v>
      </c>
      <c r="N199" s="95">
        <f>Inputs_Summary!P44</f>
        <v>201.27075812274367</v>
      </c>
      <c r="O199" s="95">
        <f>Inputs_Summary!Q44</f>
        <v>618</v>
      </c>
      <c r="P199" s="101"/>
      <c r="Q199" s="5"/>
      <c r="R199" s="5"/>
      <c r="S199" s="5"/>
      <c r="T199" s="5"/>
    </row>
    <row r="200" spans="1:25" s="32" customFormat="1" ht="15" x14ac:dyDescent="0.25">
      <c r="B200" s="33" t="s">
        <v>20</v>
      </c>
      <c r="C200" s="94">
        <f>Inputs_Summary!E45</f>
        <v>0.36168632057761729</v>
      </c>
      <c r="D200" s="94">
        <f>Inputs_Summary!F45</f>
        <v>0.12287246155234656</v>
      </c>
      <c r="E200" s="94">
        <f>Inputs_Summary!G45</f>
        <v>1.1311272563176895</v>
      </c>
      <c r="F200" s="94">
        <f>Inputs_Summary!H45</f>
        <v>1.7302564981949458</v>
      </c>
      <c r="G200" s="94">
        <f>Inputs_Summary!I45</f>
        <v>0</v>
      </c>
      <c r="H200" s="94">
        <f>Inputs_Summary!J45</f>
        <v>0</v>
      </c>
      <c r="I200" s="94">
        <f>Inputs_Summary!K45</f>
        <v>0</v>
      </c>
      <c r="J200" s="94">
        <f>Inputs_Summary!L45</f>
        <v>0</v>
      </c>
      <c r="K200" s="94">
        <f>Inputs_Summary!M45</f>
        <v>1.42</v>
      </c>
      <c r="L200" s="94">
        <f>Inputs_Summary!N45</f>
        <v>0.46</v>
      </c>
      <c r="M200" s="94">
        <f>Inputs_Summary!O45</f>
        <v>1.51</v>
      </c>
      <c r="N200" s="94">
        <f>Inputs_Summary!P45</f>
        <v>0</v>
      </c>
      <c r="O200" s="94">
        <f>Inputs_Summary!Q45</f>
        <v>3.2000000000000001E-2</v>
      </c>
      <c r="P200" s="100"/>
      <c r="Y200" s="87"/>
    </row>
    <row r="201" spans="1:25" ht="15" x14ac:dyDescent="0.25">
      <c r="B201" s="3">
        <v>2030</v>
      </c>
      <c r="C201" s="94">
        <f>Inputs_Summary!E46</f>
        <v>0.36168632057761729</v>
      </c>
      <c r="D201" s="94">
        <f>Inputs_Summary!F46</f>
        <v>0.12287246155234656</v>
      </c>
      <c r="E201" s="94">
        <f>Inputs_Summary!G46</f>
        <v>1.1311272563176895</v>
      </c>
      <c r="F201" s="94">
        <f>Inputs_Summary!H46</f>
        <v>1.7302564981949458</v>
      </c>
      <c r="G201" s="94">
        <f>Inputs_Summary!I46</f>
        <v>0</v>
      </c>
      <c r="H201" s="94">
        <f>Inputs_Summary!J46</f>
        <v>0</v>
      </c>
      <c r="I201" s="94">
        <f>Inputs_Summary!K46</f>
        <v>0</v>
      </c>
      <c r="J201" s="94">
        <f>Inputs_Summary!L46</f>
        <v>0</v>
      </c>
      <c r="K201" s="94">
        <f>Inputs_Summary!M46</f>
        <v>1.42</v>
      </c>
      <c r="L201" s="94">
        <f>Inputs_Summary!N46</f>
        <v>0.46</v>
      </c>
      <c r="M201" s="94">
        <f>Inputs_Summary!O46</f>
        <v>1.51</v>
      </c>
      <c r="N201" s="94">
        <f>Inputs_Summary!P46</f>
        <v>0</v>
      </c>
      <c r="O201" s="94">
        <f>Inputs_Summary!Q46</f>
        <v>3.2000000000000001E-2</v>
      </c>
      <c r="P201" s="100"/>
      <c r="Q201" s="5"/>
      <c r="R201" s="5"/>
      <c r="S201" s="5"/>
      <c r="T201" s="5"/>
    </row>
    <row r="202" spans="1:25" ht="15" x14ac:dyDescent="0.25">
      <c r="B202" s="3">
        <v>2040</v>
      </c>
      <c r="C202" s="94">
        <f>Inputs_Summary!E47</f>
        <v>0.36168632057761729</v>
      </c>
      <c r="D202" s="94">
        <f>Inputs_Summary!F47</f>
        <v>0.12287246155234656</v>
      </c>
      <c r="E202" s="94">
        <f>Inputs_Summary!G47</f>
        <v>1.1311272563176895</v>
      </c>
      <c r="F202" s="94">
        <f>Inputs_Summary!H47</f>
        <v>1.7302564981949458</v>
      </c>
      <c r="G202" s="94">
        <f>Inputs_Summary!I47</f>
        <v>0</v>
      </c>
      <c r="H202" s="94">
        <f>Inputs_Summary!J47</f>
        <v>0</v>
      </c>
      <c r="I202" s="94">
        <f>Inputs_Summary!K47</f>
        <v>0</v>
      </c>
      <c r="J202" s="94">
        <f>Inputs_Summary!L47</f>
        <v>0</v>
      </c>
      <c r="K202" s="94">
        <f>Inputs_Summary!M47</f>
        <v>1.42</v>
      </c>
      <c r="L202" s="94">
        <f>Inputs_Summary!N47</f>
        <v>0.46</v>
      </c>
      <c r="M202" s="94">
        <f>Inputs_Summary!O47</f>
        <v>1.51</v>
      </c>
      <c r="N202" s="94">
        <f>Inputs_Summary!P47</f>
        <v>0</v>
      </c>
      <c r="O202" s="94">
        <f>Inputs_Summary!Q47</f>
        <v>3.2000000000000001E-2</v>
      </c>
      <c r="P202" s="100"/>
      <c r="Q202" s="5"/>
      <c r="R202" s="5"/>
      <c r="S202" s="5"/>
      <c r="T202" s="5"/>
    </row>
    <row r="203" spans="1:25" ht="15" x14ac:dyDescent="0.25">
      <c r="B203" s="3">
        <v>2050</v>
      </c>
      <c r="C203" s="94">
        <f>Inputs_Summary!E48</f>
        <v>0.36168632057761729</v>
      </c>
      <c r="D203" s="94">
        <f>Inputs_Summary!F48</f>
        <v>0.12287246155234656</v>
      </c>
      <c r="E203" s="94">
        <f>Inputs_Summary!G48</f>
        <v>1.1311272563176895</v>
      </c>
      <c r="F203" s="94">
        <f>Inputs_Summary!H48</f>
        <v>1.7302564981949458</v>
      </c>
      <c r="G203" s="94">
        <f>Inputs_Summary!I48</f>
        <v>0</v>
      </c>
      <c r="H203" s="94">
        <f>Inputs_Summary!J48</f>
        <v>0</v>
      </c>
      <c r="I203" s="94">
        <f>Inputs_Summary!K48</f>
        <v>0</v>
      </c>
      <c r="J203" s="94">
        <f>Inputs_Summary!L48</f>
        <v>0</v>
      </c>
      <c r="K203" s="94">
        <f>Inputs_Summary!M48</f>
        <v>1.42</v>
      </c>
      <c r="L203" s="94">
        <f>Inputs_Summary!N48</f>
        <v>0.46</v>
      </c>
      <c r="M203" s="94">
        <f>Inputs_Summary!O48</f>
        <v>1.51</v>
      </c>
      <c r="N203" s="94">
        <f>Inputs_Summary!P48</f>
        <v>0</v>
      </c>
      <c r="O203" s="94">
        <f>Inputs_Summary!Q48</f>
        <v>3.2000000000000001E-2</v>
      </c>
      <c r="P203" s="100"/>
      <c r="Q203" s="5"/>
      <c r="R203" s="5"/>
      <c r="S203" s="5"/>
      <c r="T203" s="5"/>
    </row>
    <row r="204" spans="1:25" s="58" customFormat="1" ht="15" x14ac:dyDescent="0.25">
      <c r="B204" s="67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</row>
    <row r="205" spans="1:25" ht="30" x14ac:dyDescent="0.25">
      <c r="B205" s="30" t="s">
        <v>22</v>
      </c>
      <c r="C205" s="43" t="s">
        <v>0</v>
      </c>
      <c r="D205" s="43" t="s">
        <v>1</v>
      </c>
      <c r="E205" s="43" t="s">
        <v>28</v>
      </c>
      <c r="F205" s="2" t="s">
        <v>29</v>
      </c>
      <c r="G205" s="2" t="s">
        <v>6</v>
      </c>
      <c r="H205" s="43" t="s">
        <v>2</v>
      </c>
      <c r="I205" s="43" t="s">
        <v>3</v>
      </c>
      <c r="J205" s="43" t="s">
        <v>4</v>
      </c>
      <c r="K205" s="43" t="s">
        <v>9</v>
      </c>
      <c r="L205" s="43" t="s">
        <v>8</v>
      </c>
      <c r="M205" s="43" t="s">
        <v>25</v>
      </c>
      <c r="N205" s="43" t="s">
        <v>7</v>
      </c>
      <c r="O205" s="43" t="s">
        <v>89</v>
      </c>
      <c r="P205" s="25"/>
      <c r="Q205" s="43" t="s">
        <v>5</v>
      </c>
      <c r="R205" s="43" t="s">
        <v>91</v>
      </c>
      <c r="T205" s="43" t="s">
        <v>10</v>
      </c>
    </row>
    <row r="206" spans="1:25" ht="15" x14ac:dyDescent="0.25">
      <c r="A206" s="15">
        <f>C176+C186</f>
        <v>101.28345678417769</v>
      </c>
      <c r="B206" s="3">
        <v>2016</v>
      </c>
      <c r="C206" s="19">
        <f>((C196+C192)*C16+C200*C46*1000)/1000000</f>
        <v>0</v>
      </c>
      <c r="D206" s="19">
        <f>LOOKUP(B206,NuclearPhasing!$D$6:$D$40,NuclearPhasing!$AL$6:$AL$40)+((D196)*D16+D200*D46*1000)/1000000</f>
        <v>0</v>
      </c>
      <c r="E206" s="19">
        <f t="shared" ref="E206:O206" si="72">((E196+E192)*E16+E200*E46*1000)/1000000</f>
        <v>0</v>
      </c>
      <c r="F206" s="19">
        <f t="shared" si="72"/>
        <v>0</v>
      </c>
      <c r="G206" s="19">
        <f t="shared" si="72"/>
        <v>0</v>
      </c>
      <c r="H206" s="19">
        <f t="shared" si="72"/>
        <v>0</v>
      </c>
      <c r="I206" s="19">
        <f t="shared" si="72"/>
        <v>0</v>
      </c>
      <c r="J206" s="19">
        <f t="shared" si="72"/>
        <v>0</v>
      </c>
      <c r="K206" s="19">
        <f t="shared" si="72"/>
        <v>0</v>
      </c>
      <c r="L206" s="19">
        <f t="shared" si="72"/>
        <v>0</v>
      </c>
      <c r="M206" s="19">
        <f t="shared" si="72"/>
        <v>0</v>
      </c>
      <c r="N206" s="19">
        <f t="shared" si="72"/>
        <v>0</v>
      </c>
      <c r="O206" s="19">
        <f t="shared" si="72"/>
        <v>0</v>
      </c>
      <c r="P206" s="62"/>
      <c r="Q206" s="39">
        <f>G206+N206</f>
        <v>0</v>
      </c>
      <c r="R206" s="5">
        <f>SUM(K206:L206)</f>
        <v>0</v>
      </c>
      <c r="T206" s="5">
        <f>SUM(C206:O206)</f>
        <v>0</v>
      </c>
    </row>
    <row r="207" spans="1:25" ht="15" x14ac:dyDescent="0.25">
      <c r="A207" s="15">
        <f>C177+C187</f>
        <v>141.48787039401114</v>
      </c>
      <c r="B207" s="3">
        <v>2030</v>
      </c>
      <c r="C207" s="19">
        <f>((C197+C193)*C17+C201*C47*1000)/1000000</f>
        <v>35.660717333517951</v>
      </c>
      <c r="D207" s="19">
        <f>LOOKUP(B207,NuclearPhasing!$D$6:$D$40,NuclearPhasing!$AL$6:$AL$40)+((D197)*D17+D201*D47*1000)/1000000</f>
        <v>0</v>
      </c>
      <c r="E207" s="19">
        <f t="shared" ref="E207:O207" si="73">((E197+E193)*E17+E201*E47*1000)/1000000</f>
        <v>23.206142535912409</v>
      </c>
      <c r="F207" s="19">
        <f t="shared" si="73"/>
        <v>6.1099284050650864</v>
      </c>
      <c r="G207" s="19">
        <f t="shared" si="73"/>
        <v>6.4714248375451255</v>
      </c>
      <c r="H207" s="19">
        <f t="shared" si="73"/>
        <v>13.377000000000001</v>
      </c>
      <c r="I207" s="19">
        <f t="shared" si="73"/>
        <v>0</v>
      </c>
      <c r="J207" s="19">
        <f t="shared" si="73"/>
        <v>4.5255599999999996</v>
      </c>
      <c r="K207" s="19">
        <f t="shared" si="73"/>
        <v>2.8504335442593827</v>
      </c>
      <c r="L207" s="19">
        <f t="shared" si="73"/>
        <v>0</v>
      </c>
      <c r="M207" s="19">
        <f t="shared" si="73"/>
        <v>0.18635869175659844</v>
      </c>
      <c r="N207" s="19">
        <f t="shared" si="73"/>
        <v>0</v>
      </c>
      <c r="O207" s="19">
        <f t="shared" si="73"/>
        <v>0</v>
      </c>
      <c r="P207" s="62"/>
      <c r="Q207" s="39">
        <f>G207+N207</f>
        <v>6.4714248375451255</v>
      </c>
      <c r="R207" s="5">
        <f>SUM(K207:L207)</f>
        <v>2.8504335442593827</v>
      </c>
      <c r="T207" s="5">
        <f>SUM(C207:O207)</f>
        <v>92.387565348056555</v>
      </c>
    </row>
    <row r="208" spans="1:25" ht="15" x14ac:dyDescent="0.25">
      <c r="A208" s="15">
        <f>C178+C188</f>
        <v>100.30323167634401</v>
      </c>
      <c r="B208" s="3">
        <v>2040</v>
      </c>
      <c r="C208" s="19">
        <f>((C198+C194)*C18+C202*C48*1000)/1000000</f>
        <v>101.88772331883838</v>
      </c>
      <c r="D208" s="19">
        <f>LOOKUP(B208,NuclearPhasing!$D$6:$D$40,NuclearPhasing!$AL$6:$AL$40)+((D198)*D18+D202*D48*1000)/1000000</f>
        <v>22.169522359520151</v>
      </c>
      <c r="E208" s="19">
        <f t="shared" ref="E208:O208" si="74">((E198+E194)*E18+E202*E48*1000)/1000000</f>
        <v>66.752538851121059</v>
      </c>
      <c r="F208" s="19">
        <f t="shared" si="74"/>
        <v>12.371942728301258</v>
      </c>
      <c r="G208" s="19">
        <f t="shared" si="74"/>
        <v>16.178562093862816</v>
      </c>
      <c r="H208" s="19">
        <f t="shared" si="74"/>
        <v>40.704300000000003</v>
      </c>
      <c r="I208" s="19">
        <f t="shared" si="74"/>
        <v>0</v>
      </c>
      <c r="J208" s="19">
        <f t="shared" si="74"/>
        <v>9.6748200000000004</v>
      </c>
      <c r="K208" s="19">
        <f t="shared" si="74"/>
        <v>2.8609884166261148</v>
      </c>
      <c r="L208" s="19">
        <f t="shared" si="74"/>
        <v>0</v>
      </c>
      <c r="M208" s="19">
        <f t="shared" si="74"/>
        <v>0.18651391786924937</v>
      </c>
      <c r="N208" s="19">
        <f t="shared" si="74"/>
        <v>0</v>
      </c>
      <c r="O208" s="19">
        <f t="shared" si="74"/>
        <v>0</v>
      </c>
      <c r="P208" s="62"/>
      <c r="Q208" s="39">
        <f>G208+N208</f>
        <v>16.178562093862816</v>
      </c>
      <c r="R208" s="5">
        <f>SUM(K208:L208)</f>
        <v>2.8609884166261148</v>
      </c>
      <c r="T208" s="5">
        <f>SUM(C208:O208)</f>
        <v>272.78691168613909</v>
      </c>
    </row>
    <row r="209" spans="1:25" ht="15" x14ac:dyDescent="0.25">
      <c r="A209" s="15">
        <f>C179+C189</f>
        <v>79.549582224518559</v>
      </c>
      <c r="B209" s="3">
        <v>2050</v>
      </c>
      <c r="C209" s="19">
        <f>((C199+C195)*C19+C203*C49*1000)/1000000</f>
        <v>103.63438602630639</v>
      </c>
      <c r="D209" s="19">
        <f>LOOKUP(B209,NuclearPhasing!$D$6:$D$40,NuclearPhasing!$AL$6:$AL$40)+((D199)*D19+D203*D49*1000)/1000000</f>
        <v>165.93610560664618</v>
      </c>
      <c r="E209" s="19">
        <f t="shared" ref="E209:O209" si="75">((E199+E195)*E19+E203*E49*1000)/1000000</f>
        <v>76.540805288169352</v>
      </c>
      <c r="F209" s="19">
        <f t="shared" si="75"/>
        <v>14.193793039363864</v>
      </c>
      <c r="G209" s="19">
        <f t="shared" si="75"/>
        <v>16.178562093862816</v>
      </c>
      <c r="H209" s="19">
        <f t="shared" si="75"/>
        <v>58.0944</v>
      </c>
      <c r="I209" s="19">
        <f t="shared" si="75"/>
        <v>0</v>
      </c>
      <c r="J209" s="19">
        <f t="shared" si="75"/>
        <v>13.51028</v>
      </c>
      <c r="K209" s="19">
        <f t="shared" si="75"/>
        <v>2.85062908757889</v>
      </c>
      <c r="L209" s="19">
        <f t="shared" si="75"/>
        <v>0</v>
      </c>
      <c r="M209" s="19">
        <f t="shared" si="75"/>
        <v>8.758921531533008E-2</v>
      </c>
      <c r="N209" s="19">
        <f t="shared" si="75"/>
        <v>0</v>
      </c>
      <c r="O209" s="19">
        <f t="shared" si="75"/>
        <v>0</v>
      </c>
      <c r="P209" s="62"/>
      <c r="Q209" s="39">
        <f>G209+N209</f>
        <v>16.178562093862816</v>
      </c>
      <c r="R209" s="5">
        <f>SUM(K209:L209)</f>
        <v>2.85062908757889</v>
      </c>
      <c r="T209" s="5">
        <f>SUM(C209:O209)</f>
        <v>451.02655035724285</v>
      </c>
    </row>
    <row r="210" spans="1:25" ht="15" x14ac:dyDescent="0.25">
      <c r="C210" s="37"/>
      <c r="D210" s="112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69"/>
    </row>
    <row r="211" spans="1:25" ht="60" x14ac:dyDescent="0.25">
      <c r="B211" s="30" t="s">
        <v>23</v>
      </c>
      <c r="C211" s="43" t="s">
        <v>0</v>
      </c>
      <c r="D211" s="43" t="s">
        <v>1</v>
      </c>
      <c r="E211" s="43" t="s">
        <v>28</v>
      </c>
      <c r="F211" s="2" t="s">
        <v>29</v>
      </c>
      <c r="G211" s="2" t="s">
        <v>6</v>
      </c>
      <c r="H211" s="43" t="s">
        <v>2</v>
      </c>
      <c r="I211" s="43" t="s">
        <v>3</v>
      </c>
      <c r="J211" s="43" t="s">
        <v>4</v>
      </c>
      <c r="K211" s="43" t="s">
        <v>9</v>
      </c>
      <c r="L211" s="43" t="s">
        <v>8</v>
      </c>
      <c r="M211" s="43" t="s">
        <v>25</v>
      </c>
      <c r="N211" s="43" t="s">
        <v>7</v>
      </c>
      <c r="O211" s="43" t="s">
        <v>89</v>
      </c>
      <c r="P211" s="25"/>
      <c r="Q211" s="43" t="s">
        <v>5</v>
      </c>
      <c r="R211" s="43" t="s">
        <v>91</v>
      </c>
      <c r="T211" s="30" t="s">
        <v>10</v>
      </c>
      <c r="U211" s="41" t="s">
        <v>86</v>
      </c>
      <c r="V211" s="43" t="s">
        <v>92</v>
      </c>
      <c r="W211" s="43" t="s">
        <v>93</v>
      </c>
      <c r="X211" s="25" t="s">
        <v>26</v>
      </c>
      <c r="Y211" s="25" t="s">
        <v>27</v>
      </c>
    </row>
    <row r="212" spans="1:25" ht="15" x14ac:dyDescent="0.25">
      <c r="B212" s="3">
        <v>2016</v>
      </c>
      <c r="C212" s="19">
        <f t="shared" ref="C212:O212" si="76">C176+C186+C206</f>
        <v>101.28345678417769</v>
      </c>
      <c r="D212" s="19">
        <f t="shared" si="76"/>
        <v>3.0206166863931165</v>
      </c>
      <c r="E212" s="19">
        <f t="shared" si="76"/>
        <v>0.71827291818882821</v>
      </c>
      <c r="F212" s="19">
        <f t="shared" si="76"/>
        <v>5.6112431781664789</v>
      </c>
      <c r="G212" s="19">
        <f t="shared" si="76"/>
        <v>4.7397372806457199</v>
      </c>
      <c r="H212" s="19">
        <f t="shared" si="76"/>
        <v>4.0750701878248003</v>
      </c>
      <c r="I212" s="19">
        <f t="shared" si="76"/>
        <v>2.9231010200632919</v>
      </c>
      <c r="J212" s="19">
        <f t="shared" si="76"/>
        <v>4.4864465988215327</v>
      </c>
      <c r="K212" s="19">
        <f t="shared" si="76"/>
        <v>0</v>
      </c>
      <c r="L212" s="19">
        <f t="shared" si="76"/>
        <v>2.6751491869481288</v>
      </c>
      <c r="M212" s="19">
        <f t="shared" si="76"/>
        <v>0</v>
      </c>
      <c r="N212" s="19">
        <f t="shared" si="76"/>
        <v>0.46729964879989472</v>
      </c>
      <c r="O212" s="19">
        <f t="shared" si="76"/>
        <v>0</v>
      </c>
      <c r="P212" s="62"/>
      <c r="Q212" s="5">
        <f>G212+N212</f>
        <v>5.2070369294456142</v>
      </c>
      <c r="R212" s="5">
        <f>SUM(K212:L212)</f>
        <v>2.6751491869481288</v>
      </c>
      <c r="S212" s="5"/>
      <c r="T212" s="46">
        <f>SUM(C212:O212)</f>
        <v>130.00039349002947</v>
      </c>
      <c r="U212" s="39">
        <f>T212+T128*Inputs_Summary!E64/1000</f>
        <v>155.98922641286882</v>
      </c>
      <c r="V212" s="39">
        <f>T212+Inputs_Summary!$E$62*Inputs_Summary!E72/1000</f>
        <v>202.62649349002947</v>
      </c>
      <c r="W212" s="39">
        <f>V212+(U212-T212)</f>
        <v>228.61532641286882</v>
      </c>
      <c r="X212" s="75">
        <f>T212-'HC-BC'!T212</f>
        <v>0</v>
      </c>
      <c r="Y212" s="76">
        <f>T212-'HC-CB'!T212</f>
        <v>2.44606645697543</v>
      </c>
    </row>
    <row r="213" spans="1:25" ht="15" x14ac:dyDescent="0.25">
      <c r="B213" s="3">
        <v>2030</v>
      </c>
      <c r="C213" s="19">
        <f t="shared" ref="C213:O213" si="77">C177+C187+C207</f>
        <v>177.1485877275291</v>
      </c>
      <c r="D213" s="19">
        <f t="shared" si="77"/>
        <v>3.0056764962422364</v>
      </c>
      <c r="E213" s="19">
        <f t="shared" si="77"/>
        <v>25.320438043231402</v>
      </c>
      <c r="F213" s="19">
        <f t="shared" si="77"/>
        <v>6.8654177174614119</v>
      </c>
      <c r="G213" s="19">
        <f t="shared" si="77"/>
        <v>10.598467653664763</v>
      </c>
      <c r="H213" s="19">
        <f t="shared" si="77"/>
        <v>23.600888462253337</v>
      </c>
      <c r="I213" s="19">
        <f t="shared" si="77"/>
        <v>12.425647778645466</v>
      </c>
      <c r="J213" s="19">
        <f t="shared" si="77"/>
        <v>10.867803546135047</v>
      </c>
      <c r="K213" s="19">
        <f t="shared" si="77"/>
        <v>3.1570780000407668</v>
      </c>
      <c r="L213" s="19">
        <f t="shared" si="77"/>
        <v>4.2471544659541127</v>
      </c>
      <c r="M213" s="19">
        <f t="shared" si="77"/>
        <v>0.18635869175659844</v>
      </c>
      <c r="N213" s="19">
        <f t="shared" si="77"/>
        <v>3.7997135722139186</v>
      </c>
      <c r="O213" s="19">
        <f t="shared" si="77"/>
        <v>0</v>
      </c>
      <c r="P213" s="62"/>
      <c r="Q213" s="5">
        <f>G213+N213</f>
        <v>14.39818122587868</v>
      </c>
      <c r="R213" s="5">
        <f>SUM(K213:L213)</f>
        <v>7.4042324659948795</v>
      </c>
      <c r="S213" s="5"/>
      <c r="T213" s="46">
        <f>SUM(C213:O213)</f>
        <v>281.22323215512819</v>
      </c>
      <c r="U213" s="39">
        <f>T213+T129*Inputs_Summary!E65/1000</f>
        <v>311.32233688739541</v>
      </c>
      <c r="V213" s="39">
        <f>T213+Inputs_Summary!$E$62*Inputs_Summary!E73/1000</f>
        <v>384.28163215512819</v>
      </c>
      <c r="W213" s="39">
        <f>V213+(U213-T213)</f>
        <v>414.38073688739541</v>
      </c>
      <c r="X213" s="75">
        <f>T213-'HC-BC'!T213</f>
        <v>0</v>
      </c>
      <c r="Y213" s="76">
        <f>T213-'HC-CB'!T213</f>
        <v>-19.141097846454727</v>
      </c>
    </row>
    <row r="214" spans="1:25" ht="15" x14ac:dyDescent="0.25">
      <c r="B214" s="3">
        <v>2040</v>
      </c>
      <c r="C214" s="19">
        <f t="shared" ref="C214:O214" si="78">C178+C188+C208</f>
        <v>202.19095499518238</v>
      </c>
      <c r="D214" s="19">
        <f t="shared" si="78"/>
        <v>25.184720902966262</v>
      </c>
      <c r="E214" s="19">
        <f t="shared" si="78"/>
        <v>68.87234840924414</v>
      </c>
      <c r="F214" s="19">
        <f t="shared" si="78"/>
        <v>12.749655187203366</v>
      </c>
      <c r="G214" s="19">
        <f t="shared" si="78"/>
        <v>20.284218163515746</v>
      </c>
      <c r="H214" s="19">
        <f t="shared" si="78"/>
        <v>40.704300000000003</v>
      </c>
      <c r="I214" s="19">
        <f t="shared" si="78"/>
        <v>12.454741114540578</v>
      </c>
      <c r="J214" s="19">
        <f t="shared" si="78"/>
        <v>12.887923148440912</v>
      </c>
      <c r="K214" s="19">
        <f t="shared" si="78"/>
        <v>3.1677722692397072</v>
      </c>
      <c r="L214" s="19">
        <f t="shared" si="78"/>
        <v>4.3381432129572444</v>
      </c>
      <c r="M214" s="19">
        <f t="shared" si="78"/>
        <v>0.18651391786924937</v>
      </c>
      <c r="N214" s="19">
        <f t="shared" si="78"/>
        <v>3.7905906978335571</v>
      </c>
      <c r="O214" s="19">
        <f t="shared" si="78"/>
        <v>0</v>
      </c>
      <c r="P214" s="62"/>
      <c r="Q214" s="5">
        <f>G214+N214</f>
        <v>24.074808861349304</v>
      </c>
      <c r="R214" s="5">
        <f>SUM(K214:L214)</f>
        <v>7.5059154821969516</v>
      </c>
      <c r="S214" s="5"/>
      <c r="T214" s="46">
        <f>SUM(C214:O214)</f>
        <v>406.81188201899312</v>
      </c>
      <c r="U214" s="39">
        <f>T214+T130*Inputs_Summary!E66/1000</f>
        <v>435.46984471072892</v>
      </c>
      <c r="V214" s="39">
        <f>T214+Inputs_Summary!$E$62*Inputs_Summary!E74/1000</f>
        <v>535.34118201899309</v>
      </c>
      <c r="W214" s="39">
        <f>V214+(U214-T214)</f>
        <v>563.99914471072884</v>
      </c>
      <c r="X214" s="75">
        <f>T214-'HC-BC'!T214</f>
        <v>0</v>
      </c>
      <c r="Y214" s="76">
        <f>T214-'HC-CB'!T214</f>
        <v>5.7503254882075794</v>
      </c>
    </row>
    <row r="215" spans="1:25" ht="15" x14ac:dyDescent="0.25">
      <c r="B215" s="3">
        <v>2050</v>
      </c>
      <c r="C215" s="19">
        <f t="shared" ref="C215:O215" si="79">C179+C189+C209</f>
        <v>183.18396825082493</v>
      </c>
      <c r="D215" s="19">
        <f t="shared" si="79"/>
        <v>165.93610560664618</v>
      </c>
      <c r="E215" s="19">
        <f t="shared" si="79"/>
        <v>78.64739359028971</v>
      </c>
      <c r="F215" s="19">
        <f t="shared" si="79"/>
        <v>14.193793039363864</v>
      </c>
      <c r="G215" s="19">
        <f t="shared" si="79"/>
        <v>20.26412527181629</v>
      </c>
      <c r="H215" s="19">
        <f t="shared" si="79"/>
        <v>58.0944</v>
      </c>
      <c r="I215" s="19">
        <f t="shared" si="79"/>
        <v>0</v>
      </c>
      <c r="J215" s="19">
        <f t="shared" si="79"/>
        <v>13.51028</v>
      </c>
      <c r="K215" s="19">
        <f t="shared" si="79"/>
        <v>2.85062908757889</v>
      </c>
      <c r="L215" s="19">
        <f t="shared" si="79"/>
        <v>2.6211126109786211</v>
      </c>
      <c r="M215" s="19">
        <f t="shared" si="79"/>
        <v>8.758921531533008E-2</v>
      </c>
      <c r="N215" s="19">
        <f t="shared" si="79"/>
        <v>3.7895858850912312</v>
      </c>
      <c r="O215" s="19">
        <f t="shared" si="79"/>
        <v>0</v>
      </c>
      <c r="P215" s="62"/>
      <c r="Q215" s="5">
        <f>G215+N215</f>
        <v>24.053711156907521</v>
      </c>
      <c r="R215" s="5">
        <f>SUM(K215:L215)</f>
        <v>5.4717416985575111</v>
      </c>
      <c r="S215" s="5"/>
      <c r="T215" s="46">
        <f>SUM(C215:O215)</f>
        <v>543.17898255790499</v>
      </c>
      <c r="U215" s="39">
        <f>T215+T131*Inputs_Summary!E67/1000</f>
        <v>565.61456031812327</v>
      </c>
      <c r="V215" s="39">
        <f>T215+Inputs_Summary!$E$62*Inputs_Summary!E75/1000</f>
        <v>699.64668255790502</v>
      </c>
      <c r="W215" s="39">
        <f>V215+(U215-T215)</f>
        <v>722.0822603181233</v>
      </c>
      <c r="X215" s="75">
        <f>T215-'HC-BC'!T215</f>
        <v>0</v>
      </c>
      <c r="Y215" s="76">
        <f>T215-'HC-CB'!T215</f>
        <v>11.344194553314651</v>
      </c>
    </row>
    <row r="216" spans="1:25" ht="15" x14ac:dyDescent="0.25">
      <c r="U216" s="11"/>
    </row>
    <row r="217" spans="1:25" ht="15" x14ac:dyDescent="0.25">
      <c r="B217" s="3">
        <v>2016</v>
      </c>
      <c r="C217" s="21">
        <f t="shared" ref="C217:O217" si="80">IFERROR(C212/$T212,0)</f>
        <v>0.7791011555049312</v>
      </c>
      <c r="D217" s="21">
        <f t="shared" si="80"/>
        <v>2.3235442642139281E-2</v>
      </c>
      <c r="E217" s="21">
        <f t="shared" si="80"/>
        <v>5.5251595699509709E-3</v>
      </c>
      <c r="F217" s="21">
        <f t="shared" si="80"/>
        <v>4.316327841420603E-2</v>
      </c>
      <c r="G217" s="21">
        <f t="shared" si="80"/>
        <v>3.6459407186403933E-2</v>
      </c>
      <c r="H217" s="21">
        <f t="shared" si="80"/>
        <v>3.1346598871159127E-2</v>
      </c>
      <c r="I217" s="21">
        <f t="shared" si="80"/>
        <v>2.2485324402402539E-2</v>
      </c>
      <c r="J217" s="21">
        <f t="shared" si="80"/>
        <v>3.4511023223676829E-2</v>
      </c>
      <c r="K217" s="21">
        <f t="shared" si="80"/>
        <v>0</v>
      </c>
      <c r="L217" s="21">
        <f t="shared" si="80"/>
        <v>2.0578008382361568E-2</v>
      </c>
      <c r="M217" s="21">
        <f t="shared" si="80"/>
        <v>0</v>
      </c>
      <c r="N217" s="21">
        <f t="shared" si="80"/>
        <v>3.5946018027686573E-3</v>
      </c>
      <c r="O217" s="21">
        <f t="shared" si="80"/>
        <v>0</v>
      </c>
      <c r="P217" s="29"/>
      <c r="Q217" s="7">
        <f t="shared" ref="Q217:R220" si="81">IFERROR(Q212/$T212,0)</f>
        <v>4.0054008989172593E-2</v>
      </c>
      <c r="R217" s="7">
        <f t="shared" si="81"/>
        <v>2.0578008382361568E-2</v>
      </c>
      <c r="T217" s="8">
        <f>SUM(C217:O217)</f>
        <v>1.0000000000000002</v>
      </c>
      <c r="U217" s="11"/>
    </row>
    <row r="218" spans="1:25" ht="15" x14ac:dyDescent="0.25">
      <c r="B218" s="3">
        <v>2030</v>
      </c>
      <c r="C218" s="21">
        <f t="shared" ref="C218:O218" si="82">IFERROR(C213/$T213,0)</f>
        <v>0.62992159776405143</v>
      </c>
      <c r="D218" s="21">
        <f t="shared" si="82"/>
        <v>1.0687866977448886E-2</v>
      </c>
      <c r="E218" s="21">
        <f t="shared" si="82"/>
        <v>9.0036793365863024E-2</v>
      </c>
      <c r="F218" s="21">
        <f t="shared" si="82"/>
        <v>2.4412697574268383E-2</v>
      </c>
      <c r="G218" s="21">
        <f t="shared" si="82"/>
        <v>3.7687027392596224E-2</v>
      </c>
      <c r="H218" s="21">
        <f t="shared" si="82"/>
        <v>8.3922257351891294E-2</v>
      </c>
      <c r="I218" s="21">
        <f t="shared" si="82"/>
        <v>4.4184286210718314E-2</v>
      </c>
      <c r="J218" s="21">
        <f t="shared" si="82"/>
        <v>3.8644757272898976E-2</v>
      </c>
      <c r="K218" s="21">
        <f t="shared" si="82"/>
        <v>1.1226234674307637E-2</v>
      </c>
      <c r="L218" s="21">
        <f t="shared" si="82"/>
        <v>1.5102431023946485E-2</v>
      </c>
      <c r="M218" s="21">
        <f t="shared" si="82"/>
        <v>6.6267175129329069E-4</v>
      </c>
      <c r="N218" s="21">
        <f t="shared" si="82"/>
        <v>1.3511378640716009E-2</v>
      </c>
      <c r="O218" s="21">
        <f t="shared" si="82"/>
        <v>0</v>
      </c>
      <c r="P218" s="29"/>
      <c r="Q218" s="7">
        <f t="shared" si="81"/>
        <v>5.119840603331223E-2</v>
      </c>
      <c r="R218" s="7">
        <f t="shared" si="81"/>
        <v>2.6328665698254122E-2</v>
      </c>
      <c r="T218" s="8">
        <f>SUM(C218:O218)</f>
        <v>0.99999999999999989</v>
      </c>
      <c r="U218" s="11"/>
    </row>
    <row r="219" spans="1:25" ht="15" x14ac:dyDescent="0.25">
      <c r="B219" s="3">
        <v>2040</v>
      </c>
      <c r="C219" s="21">
        <f t="shared" ref="C219:O219" si="83">IFERROR(C214/$T214,0)</f>
        <v>0.49701339595027499</v>
      </c>
      <c r="D219" s="21">
        <f t="shared" si="83"/>
        <v>6.1907535192864509E-2</v>
      </c>
      <c r="E219" s="21">
        <f t="shared" si="83"/>
        <v>0.16929777976845978</v>
      </c>
      <c r="F219" s="21">
        <f t="shared" si="83"/>
        <v>3.1340419861699401E-2</v>
      </c>
      <c r="G219" s="21">
        <f t="shared" si="83"/>
        <v>4.9861420130714672E-2</v>
      </c>
      <c r="H219" s="21">
        <f t="shared" si="83"/>
        <v>0.10005681200358747</v>
      </c>
      <c r="I219" s="21">
        <f t="shared" si="83"/>
        <v>3.0615480188848306E-2</v>
      </c>
      <c r="J219" s="21">
        <f t="shared" si="83"/>
        <v>3.168030167771551E-2</v>
      </c>
      <c r="K219" s="21">
        <f t="shared" si="83"/>
        <v>7.7868233678873005E-3</v>
      </c>
      <c r="L219" s="21">
        <f t="shared" si="83"/>
        <v>1.0663757389354489E-2</v>
      </c>
      <c r="M219" s="21">
        <f t="shared" si="83"/>
        <v>4.5847706547701443E-4</v>
      </c>
      <c r="N219" s="21">
        <f t="shared" si="83"/>
        <v>9.3177974031166157E-3</v>
      </c>
      <c r="O219" s="21">
        <f t="shared" si="83"/>
        <v>0</v>
      </c>
      <c r="P219" s="29"/>
      <c r="Q219" s="7">
        <f t="shared" si="81"/>
        <v>5.9179217533831291E-2</v>
      </c>
      <c r="R219" s="7">
        <f t="shared" si="81"/>
        <v>1.8450580757241791E-2</v>
      </c>
      <c r="T219" s="8">
        <f>SUM(C219:O219)</f>
        <v>1</v>
      </c>
      <c r="U219" s="11"/>
    </row>
    <row r="220" spans="1:25" ht="15" x14ac:dyDescent="0.25">
      <c r="B220" s="3">
        <v>2050</v>
      </c>
      <c r="C220" s="21">
        <f t="shared" ref="C220:O220" si="84">IFERROR(C215/$T215,0)</f>
        <v>0.33724421255805276</v>
      </c>
      <c r="D220" s="21">
        <f t="shared" si="84"/>
        <v>0.3054906594972252</v>
      </c>
      <c r="E220" s="21">
        <f t="shared" si="84"/>
        <v>0.14479093653426767</v>
      </c>
      <c r="F220" s="21">
        <f t="shared" si="84"/>
        <v>2.6130968787715845E-2</v>
      </c>
      <c r="G220" s="21">
        <f t="shared" si="84"/>
        <v>3.730653416741149E-2</v>
      </c>
      <c r="H220" s="21">
        <f t="shared" si="84"/>
        <v>0.10695259180763113</v>
      </c>
      <c r="I220" s="21">
        <f t="shared" si="84"/>
        <v>0</v>
      </c>
      <c r="J220" s="21">
        <f t="shared" si="84"/>
        <v>2.4872611853238913E-2</v>
      </c>
      <c r="K220" s="21">
        <f t="shared" si="84"/>
        <v>5.2480474744344549E-3</v>
      </c>
      <c r="L220" s="21">
        <f t="shared" si="84"/>
        <v>4.825504474851805E-3</v>
      </c>
      <c r="M220" s="21">
        <f t="shared" si="84"/>
        <v>1.6125295368178707E-4</v>
      </c>
      <c r="N220" s="21">
        <f t="shared" si="84"/>
        <v>6.9766798914890757E-3</v>
      </c>
      <c r="O220" s="21">
        <f t="shared" si="84"/>
        <v>0</v>
      </c>
      <c r="P220" s="29"/>
      <c r="Q220" s="7">
        <f t="shared" si="81"/>
        <v>4.4283214058900559E-2</v>
      </c>
      <c r="R220" s="7">
        <f t="shared" si="81"/>
        <v>1.0073551949286259E-2</v>
      </c>
      <c r="T220" s="8">
        <f>SUM(C220:O220)</f>
        <v>1</v>
      </c>
    </row>
    <row r="222" spans="1:25" s="9" customFormat="1" ht="21" x14ac:dyDescent="0.35">
      <c r="B222" s="10" t="s">
        <v>51</v>
      </c>
      <c r="Y222" s="86"/>
    </row>
    <row r="223" spans="1:25" s="32" customFormat="1" ht="21" x14ac:dyDescent="0.4">
      <c r="B223" s="31"/>
      <c r="C223" s="40"/>
      <c r="D223" s="40"/>
      <c r="E223" s="40"/>
      <c r="P223" s="58"/>
      <c r="Y223" s="87"/>
    </row>
    <row r="224" spans="1:25" ht="28.8" x14ac:dyDescent="0.3">
      <c r="B224" s="43" t="s">
        <v>48</v>
      </c>
      <c r="C224" s="43" t="s">
        <v>0</v>
      </c>
      <c r="D224" s="43" t="s">
        <v>1</v>
      </c>
      <c r="E224" s="43" t="s">
        <v>28</v>
      </c>
      <c r="F224" s="2" t="s">
        <v>29</v>
      </c>
      <c r="G224" s="2" t="s">
        <v>6</v>
      </c>
      <c r="H224" s="43" t="s">
        <v>2</v>
      </c>
      <c r="I224" s="43" t="s">
        <v>3</v>
      </c>
      <c r="J224" s="43" t="s">
        <v>4</v>
      </c>
      <c r="K224" s="43" t="s">
        <v>9</v>
      </c>
      <c r="L224" s="43" t="s">
        <v>8</v>
      </c>
      <c r="M224" s="43" t="s">
        <v>25</v>
      </c>
      <c r="N224" s="43" t="s">
        <v>7</v>
      </c>
      <c r="O224" s="43" t="s">
        <v>89</v>
      </c>
      <c r="P224" s="25"/>
      <c r="Q224" s="43" t="s">
        <v>5</v>
      </c>
      <c r="R224" s="43" t="s">
        <v>91</v>
      </c>
      <c r="T224" s="42"/>
    </row>
    <row r="225" spans="2:25" x14ac:dyDescent="0.3">
      <c r="B225" s="3">
        <v>2016</v>
      </c>
      <c r="C225" s="48">
        <f t="shared" ref="C225:O225" si="85">IFERROR(C176/C34*1000,"")</f>
        <v>0.48989471926362094</v>
      </c>
      <c r="D225" s="48">
        <f t="shared" si="85"/>
        <v>0.20487259277908632</v>
      </c>
      <c r="E225" s="48">
        <f t="shared" si="85"/>
        <v>0.95000000000000007</v>
      </c>
      <c r="F225" s="48">
        <f t="shared" si="85"/>
        <v>2.7719237674542714</v>
      </c>
      <c r="G225" s="48">
        <f t="shared" si="85"/>
        <v>0.30000000000000004</v>
      </c>
      <c r="H225" s="48">
        <f t="shared" si="85"/>
        <v>0.93</v>
      </c>
      <c r="I225" s="48">
        <f t="shared" si="85"/>
        <v>3.2999999999999994</v>
      </c>
      <c r="J225" s="48">
        <f t="shared" si="85"/>
        <v>1.6999999999999997</v>
      </c>
      <c r="K225" s="48" t="str">
        <f t="shared" si="85"/>
        <v/>
      </c>
      <c r="L225" s="48">
        <f t="shared" si="85"/>
        <v>1.6499999999999997</v>
      </c>
      <c r="M225" s="48" t="str">
        <f t="shared" si="85"/>
        <v/>
      </c>
      <c r="N225" s="48">
        <f t="shared" si="85"/>
        <v>0.15605822366857675</v>
      </c>
      <c r="O225" s="48" t="str">
        <f t="shared" si="85"/>
        <v/>
      </c>
      <c r="P225" s="53"/>
      <c r="T225" s="42">
        <f>IFERROR(T176/Inputs_Summary!E72*1000,"")</f>
        <v>0.51041383896307546</v>
      </c>
    </row>
    <row r="226" spans="2:25" x14ac:dyDescent="0.3">
      <c r="B226" s="3">
        <v>2030</v>
      </c>
      <c r="C226" s="48">
        <f t="shared" ref="C226:O226" si="86">IFERROR(C177/C35*1000,"")</f>
        <v>0.47714957905395766</v>
      </c>
      <c r="D226" s="48">
        <f t="shared" si="86"/>
        <v>0.20555446152701445</v>
      </c>
      <c r="E226" s="48">
        <f t="shared" si="86"/>
        <v>0.94999999999999973</v>
      </c>
      <c r="F226" s="48">
        <f t="shared" si="86"/>
        <v>7.2617420468498928</v>
      </c>
      <c r="G226" s="48">
        <f t="shared" si="86"/>
        <v>0.3</v>
      </c>
      <c r="H226" s="48">
        <f t="shared" si="86"/>
        <v>0.93000000000000016</v>
      </c>
      <c r="I226" s="48">
        <f t="shared" si="86"/>
        <v>3.3000000000000003</v>
      </c>
      <c r="J226" s="48">
        <f t="shared" si="86"/>
        <v>1.7000000000000002</v>
      </c>
      <c r="K226" s="48" t="str">
        <f t="shared" si="86"/>
        <v/>
      </c>
      <c r="L226" s="48">
        <f t="shared" si="86"/>
        <v>1.6499999999999997</v>
      </c>
      <c r="M226" s="48" t="str">
        <f t="shared" si="86"/>
        <v/>
      </c>
      <c r="N226" s="48">
        <f t="shared" si="86"/>
        <v>0.1907604628849135</v>
      </c>
      <c r="O226" s="48" t="str">
        <f t="shared" si="86"/>
        <v/>
      </c>
      <c r="P226" s="53"/>
      <c r="T226" s="42">
        <f>IFERROR(T177/T35*1000,"")</f>
        <v>0.50115193736142838</v>
      </c>
    </row>
    <row r="227" spans="2:25" x14ac:dyDescent="0.3">
      <c r="B227" s="3">
        <v>2040</v>
      </c>
      <c r="C227" s="48">
        <f t="shared" ref="C227:O227" si="87">IFERROR(C178/C36*1000,"")</f>
        <v>0.47948279608175826</v>
      </c>
      <c r="D227" s="48">
        <f t="shared" si="87"/>
        <v>0.20511857262126471</v>
      </c>
      <c r="E227" s="48">
        <f t="shared" si="87"/>
        <v>0.95</v>
      </c>
      <c r="F227" s="48">
        <f t="shared" si="87"/>
        <v>4.3735457406471729</v>
      </c>
      <c r="G227" s="48">
        <f t="shared" si="87"/>
        <v>0.3</v>
      </c>
      <c r="H227" s="48" t="str">
        <f t="shared" si="87"/>
        <v/>
      </c>
      <c r="I227" s="48">
        <f t="shared" si="87"/>
        <v>3.3</v>
      </c>
      <c r="J227" s="48">
        <f t="shared" si="87"/>
        <v>1.7000000000000002</v>
      </c>
      <c r="K227" s="48" t="str">
        <f t="shared" si="87"/>
        <v/>
      </c>
      <c r="L227" s="48">
        <f t="shared" si="87"/>
        <v>1.6500000000000001</v>
      </c>
      <c r="M227" s="48" t="str">
        <f t="shared" si="87"/>
        <v/>
      </c>
      <c r="N227" s="48">
        <f t="shared" si="87"/>
        <v>0.2031453808606247</v>
      </c>
      <c r="O227" s="48" t="str">
        <f t="shared" si="87"/>
        <v/>
      </c>
      <c r="P227" s="53"/>
      <c r="T227" s="42">
        <f>IFERROR(T178/T36*1000,"")</f>
        <v>0.47562203126033659</v>
      </c>
    </row>
    <row r="228" spans="2:25" x14ac:dyDescent="0.3">
      <c r="B228" s="3">
        <v>2050</v>
      </c>
      <c r="C228" s="48" t="str">
        <f t="shared" ref="C228:O228" si="88">IFERROR(C179/C37*1000,"")</f>
        <v/>
      </c>
      <c r="D228" s="48" t="str">
        <f t="shared" si="88"/>
        <v/>
      </c>
      <c r="E228" s="48">
        <f t="shared" si="88"/>
        <v>0.94999999999999984</v>
      </c>
      <c r="F228" s="48" t="str">
        <f t="shared" si="88"/>
        <v/>
      </c>
      <c r="G228" s="48">
        <f t="shared" si="88"/>
        <v>0.3</v>
      </c>
      <c r="H228" s="48" t="str">
        <f t="shared" si="88"/>
        <v/>
      </c>
      <c r="I228" s="48" t="str">
        <f t="shared" si="88"/>
        <v/>
      </c>
      <c r="J228" s="48" t="str">
        <f t="shared" si="88"/>
        <v/>
      </c>
      <c r="K228" s="48" t="str">
        <f t="shared" si="88"/>
        <v/>
      </c>
      <c r="L228" s="48">
        <f t="shared" si="88"/>
        <v>1.65</v>
      </c>
      <c r="M228" s="48" t="str">
        <f t="shared" si="88"/>
        <v/>
      </c>
      <c r="N228" s="48">
        <f t="shared" si="88"/>
        <v>0.20464402678573831</v>
      </c>
      <c r="O228" s="48" t="str">
        <f t="shared" si="88"/>
        <v/>
      </c>
      <c r="P228" s="53"/>
      <c r="T228" s="42">
        <f>IFERROR(T179/T37*1000,"")</f>
        <v>0.52442665808711653</v>
      </c>
    </row>
    <row r="229" spans="2:25" x14ac:dyDescent="0.3">
      <c r="B229" s="41"/>
    </row>
    <row r="230" spans="2:25" ht="28.8" x14ac:dyDescent="0.3">
      <c r="B230" s="43" t="s">
        <v>47</v>
      </c>
    </row>
    <row r="231" spans="2:25" x14ac:dyDescent="0.3">
      <c r="B231" s="3">
        <v>2016</v>
      </c>
      <c r="C231" s="48">
        <f t="shared" ref="C231:O231" si="89">IFERROR(C186/C40*1000,"")</f>
        <v>1.1384026570269674</v>
      </c>
      <c r="D231" s="48" t="str">
        <f t="shared" si="89"/>
        <v/>
      </c>
      <c r="E231" s="48" t="str">
        <f t="shared" si="89"/>
        <v/>
      </c>
      <c r="F231" s="48" t="str">
        <f t="shared" si="89"/>
        <v/>
      </c>
      <c r="G231" s="48" t="str">
        <f t="shared" si="89"/>
        <v/>
      </c>
      <c r="H231" s="48">
        <f t="shared" si="89"/>
        <v>0.70507456548359604</v>
      </c>
      <c r="I231" s="48">
        <f t="shared" si="89"/>
        <v>2.2907692307692313</v>
      </c>
      <c r="J231" s="48" t="str">
        <f t="shared" si="89"/>
        <v/>
      </c>
      <c r="K231" s="48" t="str">
        <f t="shared" si="89"/>
        <v/>
      </c>
      <c r="L231" s="48">
        <f t="shared" si="89"/>
        <v>1.61</v>
      </c>
      <c r="M231" s="48" t="str">
        <f t="shared" si="89"/>
        <v/>
      </c>
      <c r="N231" s="48" t="str">
        <f t="shared" si="89"/>
        <v/>
      </c>
      <c r="O231" s="48" t="str">
        <f t="shared" si="89"/>
        <v/>
      </c>
      <c r="P231" s="53"/>
      <c r="T231" s="42">
        <f>IFERROR(T186/Inputs_Summary!E72*1000,"")</f>
        <v>2.6584816437790652E-2</v>
      </c>
    </row>
    <row r="232" spans="2:25" x14ac:dyDescent="0.3">
      <c r="B232" s="3">
        <v>2030</v>
      </c>
      <c r="C232" s="48">
        <f t="shared" ref="C232:O232" si="90">IFERROR(C187/C41*1000,"")</f>
        <v>1.104254906388719</v>
      </c>
      <c r="D232" s="48" t="str">
        <f t="shared" si="90"/>
        <v/>
      </c>
      <c r="E232" s="48" t="str">
        <f t="shared" si="90"/>
        <v/>
      </c>
      <c r="F232" s="48" t="str">
        <f t="shared" si="90"/>
        <v/>
      </c>
      <c r="G232" s="48">
        <f t="shared" si="90"/>
        <v>1.2400000000000002</v>
      </c>
      <c r="H232" s="48">
        <f t="shared" si="90"/>
        <v>0.70507456548359604</v>
      </c>
      <c r="I232" s="48">
        <f t="shared" si="90"/>
        <v>2.2907692307692309</v>
      </c>
      <c r="J232" s="48">
        <f t="shared" si="90"/>
        <v>0.79657730380457303</v>
      </c>
      <c r="K232" s="48">
        <f t="shared" si="90"/>
        <v>0.86391007250574703</v>
      </c>
      <c r="L232" s="48">
        <f t="shared" si="90"/>
        <v>1.61</v>
      </c>
      <c r="M232" s="48" t="str">
        <f t="shared" si="90"/>
        <v/>
      </c>
      <c r="N232" s="48">
        <f t="shared" si="90"/>
        <v>1.1656165657820636</v>
      </c>
      <c r="O232" s="48" t="str">
        <f t="shared" si="90"/>
        <v/>
      </c>
      <c r="P232" s="53"/>
      <c r="T232" s="42">
        <f>IFERROR(T187/Inputs_Summary!E73*1000,"")</f>
        <v>0.29632334058351956</v>
      </c>
    </row>
    <row r="233" spans="2:25" x14ac:dyDescent="0.3">
      <c r="B233" s="3">
        <v>2040</v>
      </c>
      <c r="C233" s="52">
        <f t="shared" ref="C233:O233" si="91">IFERROR(C188/C42*1000,"")</f>
        <v>1.0732043547068411</v>
      </c>
      <c r="D233" s="52" t="str">
        <f t="shared" si="91"/>
        <v/>
      </c>
      <c r="E233" s="52" t="str">
        <f t="shared" si="91"/>
        <v/>
      </c>
      <c r="F233" s="52" t="str">
        <f t="shared" si="91"/>
        <v/>
      </c>
      <c r="G233" s="52">
        <f t="shared" si="91"/>
        <v>1.24</v>
      </c>
      <c r="H233" s="52" t="str">
        <f t="shared" si="91"/>
        <v/>
      </c>
      <c r="I233" s="52">
        <f t="shared" si="91"/>
        <v>2.2907692307692309</v>
      </c>
      <c r="J233" s="52">
        <f t="shared" si="91"/>
        <v>0.79657730380457292</v>
      </c>
      <c r="K233" s="52">
        <f t="shared" si="91"/>
        <v>0.86054771912919459</v>
      </c>
      <c r="L233" s="52">
        <f t="shared" si="91"/>
        <v>1.61</v>
      </c>
      <c r="M233" s="52" t="str">
        <f t="shared" si="91"/>
        <v/>
      </c>
      <c r="N233" s="52">
        <f t="shared" si="91"/>
        <v>1.2919382503834125</v>
      </c>
      <c r="O233" s="52" t="str">
        <f t="shared" si="91"/>
        <v/>
      </c>
      <c r="P233" s="53"/>
      <c r="T233" s="42">
        <f>IFERROR(T188/Inputs_Summary!E74*1000,"")</f>
        <v>0.22553257581064692</v>
      </c>
    </row>
    <row r="234" spans="2:25" x14ac:dyDescent="0.3">
      <c r="B234" s="3">
        <v>2050</v>
      </c>
      <c r="C234" s="55">
        <f t="shared" ref="C234:O234" si="92">IFERROR(C189/C43*1000,"")</f>
        <v>1.0932866087503061</v>
      </c>
      <c r="D234" s="55" t="str">
        <f t="shared" si="92"/>
        <v/>
      </c>
      <c r="E234" s="55" t="str">
        <f t="shared" si="92"/>
        <v/>
      </c>
      <c r="F234" s="55" t="str">
        <f t="shared" si="92"/>
        <v/>
      </c>
      <c r="G234" s="55">
        <f t="shared" si="92"/>
        <v>1.24</v>
      </c>
      <c r="H234" s="55" t="str">
        <f t="shared" si="92"/>
        <v/>
      </c>
      <c r="I234" s="55" t="str">
        <f t="shared" si="92"/>
        <v/>
      </c>
      <c r="J234" s="55" t="str">
        <f t="shared" si="92"/>
        <v/>
      </c>
      <c r="K234" s="55" t="str">
        <f t="shared" si="92"/>
        <v/>
      </c>
      <c r="L234" s="55" t="str">
        <f t="shared" si="92"/>
        <v/>
      </c>
      <c r="M234" s="55" t="str">
        <f t="shared" si="92"/>
        <v/>
      </c>
      <c r="N234" s="55">
        <f t="shared" si="92"/>
        <v>1.2465680425132852</v>
      </c>
      <c r="O234" s="55" t="str">
        <f t="shared" si="92"/>
        <v/>
      </c>
      <c r="P234" s="53"/>
      <c r="T234" s="42">
        <f>IFERROR(T189/Inputs_Summary!E75*1000,"")</f>
        <v>0.15790481170782442</v>
      </c>
    </row>
    <row r="235" spans="2:25" s="11" customFormat="1" x14ac:dyDescent="0.3"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T235" s="54"/>
      <c r="Y235" s="12"/>
    </row>
    <row r="236" spans="2:25" ht="28.8" x14ac:dyDescent="0.3">
      <c r="B236" s="43" t="s">
        <v>49</v>
      </c>
      <c r="T236" s="42"/>
    </row>
    <row r="237" spans="2:25" x14ac:dyDescent="0.3">
      <c r="B237" s="3">
        <v>2016</v>
      </c>
      <c r="C237" s="48" t="str">
        <f t="shared" ref="C237:O237" si="93">IFERROR(C206/C46*1000,"")</f>
        <v/>
      </c>
      <c r="D237" s="48" t="str">
        <f t="shared" si="93"/>
        <v/>
      </c>
      <c r="E237" s="48" t="str">
        <f t="shared" si="93"/>
        <v/>
      </c>
      <c r="F237" s="48" t="str">
        <f t="shared" si="93"/>
        <v/>
      </c>
      <c r="G237" s="48" t="str">
        <f t="shared" si="93"/>
        <v/>
      </c>
      <c r="H237" s="48" t="str">
        <f t="shared" si="93"/>
        <v/>
      </c>
      <c r="I237" s="48" t="str">
        <f t="shared" si="93"/>
        <v/>
      </c>
      <c r="J237" s="48" t="str">
        <f t="shared" si="93"/>
        <v/>
      </c>
      <c r="K237" s="48" t="str">
        <f t="shared" si="93"/>
        <v/>
      </c>
      <c r="L237" s="48" t="str">
        <f t="shared" si="93"/>
        <v/>
      </c>
      <c r="M237" s="48" t="str">
        <f t="shared" si="93"/>
        <v/>
      </c>
      <c r="N237" s="48" t="str">
        <f t="shared" si="93"/>
        <v/>
      </c>
      <c r="O237" s="48" t="str">
        <f t="shared" si="93"/>
        <v/>
      </c>
      <c r="P237" s="53"/>
      <c r="T237" s="42">
        <f>IFERROR(T206/Inputs_Summary!E72*1000,"")</f>
        <v>0</v>
      </c>
    </row>
    <row r="238" spans="2:25" x14ac:dyDescent="0.3">
      <c r="B238" s="3">
        <v>2030</v>
      </c>
      <c r="C238" s="48">
        <f t="shared" ref="C238:O238" si="94">IFERROR(C207/C47*1000,"")</f>
        <v>1.0639842040775525</v>
      </c>
      <c r="D238" s="48" t="str">
        <f t="shared" si="94"/>
        <v/>
      </c>
      <c r="E238" s="48">
        <f t="shared" si="94"/>
        <v>1.7043817958598781</v>
      </c>
      <c r="F238" s="48">
        <f t="shared" si="94"/>
        <v>11.238842286568097</v>
      </c>
      <c r="G238" s="48">
        <f t="shared" si="94"/>
        <v>1.224849745405107</v>
      </c>
      <c r="H238" s="48">
        <f t="shared" si="94"/>
        <v>0.59603224488719897</v>
      </c>
      <c r="I238" s="48" t="str">
        <f t="shared" si="94"/>
        <v/>
      </c>
      <c r="J238" s="48">
        <f t="shared" si="94"/>
        <v>0.5451473976589768</v>
      </c>
      <c r="K238" s="48">
        <f t="shared" si="94"/>
        <v>1.6477743451307421</v>
      </c>
      <c r="L238" s="48" t="str">
        <f t="shared" si="94"/>
        <v/>
      </c>
      <c r="M238" s="48">
        <f t="shared" si="94"/>
        <v>1.5099999999999998</v>
      </c>
      <c r="N238" s="48" t="str">
        <f t="shared" si="94"/>
        <v/>
      </c>
      <c r="O238" s="48" t="str">
        <f t="shared" si="94"/>
        <v/>
      </c>
      <c r="P238" s="53"/>
      <c r="T238" s="42">
        <f>IFERROR(T207/Inputs_Summary!E73*1000,"")</f>
        <v>0.26893751120158055</v>
      </c>
    </row>
    <row r="239" spans="2:25" x14ac:dyDescent="0.3">
      <c r="B239" s="3">
        <v>2040</v>
      </c>
      <c r="C239" s="48">
        <f t="shared" ref="C239:O239" si="95">IFERROR(C208/C48*1000,"")</f>
        <v>0.96982764861406823</v>
      </c>
      <c r="D239" s="48">
        <f t="shared" si="95"/>
        <v>1.1039275863688678</v>
      </c>
      <c r="E239" s="48">
        <f t="shared" si="95"/>
        <v>1.5472272700521676</v>
      </c>
      <c r="F239" s="48">
        <f t="shared" si="95"/>
        <v>13.999935751676434</v>
      </c>
      <c r="G239" s="48">
        <f t="shared" si="95"/>
        <v>1.0504377393523296</v>
      </c>
      <c r="H239" s="48">
        <f t="shared" si="95"/>
        <v>0.62005843437260666</v>
      </c>
      <c r="I239" s="48" t="str">
        <f t="shared" si="95"/>
        <v/>
      </c>
      <c r="J239" s="48">
        <f t="shared" si="95"/>
        <v>0.51039185940646947</v>
      </c>
      <c r="K239" s="48">
        <f t="shared" si="95"/>
        <v>1.6467998174957448</v>
      </c>
      <c r="L239" s="48" t="str">
        <f t="shared" si="95"/>
        <v/>
      </c>
      <c r="M239" s="48">
        <f t="shared" si="95"/>
        <v>1.5100000000000002</v>
      </c>
      <c r="N239" s="48" t="str">
        <f t="shared" si="95"/>
        <v/>
      </c>
      <c r="O239" s="48" t="str">
        <f t="shared" si="95"/>
        <v/>
      </c>
      <c r="P239" s="53"/>
      <c r="T239" s="42">
        <f>IFERROR(T208/Inputs_Summary!E74*1000,"")</f>
        <v>0.63671142304394202</v>
      </c>
    </row>
    <row r="240" spans="2:25" x14ac:dyDescent="0.3">
      <c r="B240" s="3">
        <v>2050</v>
      </c>
      <c r="C240" s="48">
        <f t="shared" ref="C240:O240" si="96">IFERROR(C209/C49*1000,"")</f>
        <v>1.0302683071466019</v>
      </c>
      <c r="D240" s="48">
        <f t="shared" si="96"/>
        <v>1.1220306421017161</v>
      </c>
      <c r="E240" s="48">
        <f t="shared" si="96"/>
        <v>1.6296850010697332</v>
      </c>
      <c r="F240" s="48">
        <f t="shared" si="96"/>
        <v>16.824613847053588</v>
      </c>
      <c r="G240" s="48">
        <f t="shared" si="96"/>
        <v>1.0832616897753122</v>
      </c>
      <c r="H240" s="48">
        <f t="shared" si="96"/>
        <v>0.62404230094357793</v>
      </c>
      <c r="I240" s="48" t="str">
        <f t="shared" si="96"/>
        <v/>
      </c>
      <c r="J240" s="48">
        <f t="shared" si="96"/>
        <v>0.48179812086266072</v>
      </c>
      <c r="K240" s="48">
        <f t="shared" si="96"/>
        <v>1.6477562145509848</v>
      </c>
      <c r="L240" s="48" t="str">
        <f t="shared" si="96"/>
        <v/>
      </c>
      <c r="M240" s="48">
        <f t="shared" si="96"/>
        <v>1.51</v>
      </c>
      <c r="N240" s="48" t="str">
        <f t="shared" si="96"/>
        <v/>
      </c>
      <c r="O240" s="48" t="str">
        <f t="shared" si="96"/>
        <v/>
      </c>
      <c r="P240" s="53"/>
      <c r="T240" s="42">
        <f>IFERROR(T209/Inputs_Summary!E75*1000,"")</f>
        <v>0.86476611535270764</v>
      </c>
    </row>
    <row r="241" spans="2:25" x14ac:dyDescent="0.3">
      <c r="B241" s="41"/>
    </row>
    <row r="242" spans="2:25" ht="28.8" x14ac:dyDescent="0.3">
      <c r="B242" s="43" t="s">
        <v>50</v>
      </c>
      <c r="T242" s="43" t="s">
        <v>75</v>
      </c>
      <c r="U242" s="43" t="s">
        <v>73</v>
      </c>
      <c r="V242" s="43" t="s">
        <v>74</v>
      </c>
    </row>
    <row r="243" spans="2:25" x14ac:dyDescent="0.3">
      <c r="B243" s="3">
        <v>2016</v>
      </c>
      <c r="C243" s="48">
        <f t="shared" ref="C243:O243" si="97">IFERROR(C212/C52*1000,"")</f>
        <v>0.50655526618775526</v>
      </c>
      <c r="D243" s="48">
        <f t="shared" si="97"/>
        <v>0.20487259277908632</v>
      </c>
      <c r="E243" s="48">
        <f t="shared" si="97"/>
        <v>0.95000000000000007</v>
      </c>
      <c r="F243" s="48">
        <f t="shared" si="97"/>
        <v>2.7719237674542714</v>
      </c>
      <c r="G243" s="48">
        <f t="shared" si="97"/>
        <v>0.30000000000000004</v>
      </c>
      <c r="H243" s="48">
        <f t="shared" si="97"/>
        <v>0.90627498841401932</v>
      </c>
      <c r="I243" s="48">
        <f t="shared" si="97"/>
        <v>3.2072892683226946</v>
      </c>
      <c r="J243" s="48">
        <f t="shared" si="97"/>
        <v>1.6999999999999997</v>
      </c>
      <c r="K243" s="48" t="str">
        <f t="shared" si="97"/>
        <v/>
      </c>
      <c r="L243" s="48">
        <f t="shared" si="97"/>
        <v>1.6490506641141827</v>
      </c>
      <c r="M243" s="48" t="str">
        <f t="shared" si="97"/>
        <v/>
      </c>
      <c r="N243" s="48">
        <f t="shared" si="97"/>
        <v>0.15605822366857675</v>
      </c>
      <c r="O243" s="48" t="str">
        <f t="shared" si="97"/>
        <v/>
      </c>
      <c r="P243" s="53"/>
      <c r="T243" s="47">
        <f>IFERROR(T212/Inputs_Summary!E72*1000,"")</f>
        <v>0.53699865540086611</v>
      </c>
      <c r="U243" s="42">
        <f>T243+Inputs_Summary!$E$62</f>
        <v>0.83699865540086615</v>
      </c>
      <c r="V243" s="42">
        <f>U243+Inputs_Summary!E64*T128/T52</f>
        <v>0.94267330167283891</v>
      </c>
    </row>
    <row r="244" spans="2:25" x14ac:dyDescent="0.3">
      <c r="B244" s="3">
        <v>2030</v>
      </c>
      <c r="C244" s="48">
        <f t="shared" ref="C244:O244" si="98">IFERROR(C213/C53*1000,"")</f>
        <v>0.74816693026546854</v>
      </c>
      <c r="D244" s="48">
        <f t="shared" si="98"/>
        <v>0.20555446152701445</v>
      </c>
      <c r="E244" s="48">
        <f t="shared" si="98"/>
        <v>1.5983962779559278</v>
      </c>
      <c r="F244" s="48">
        <f t="shared" si="98"/>
        <v>10.600000988219662</v>
      </c>
      <c r="G244" s="48">
        <f t="shared" si="98"/>
        <v>0.57507120931974398</v>
      </c>
      <c r="H244" s="48">
        <f t="shared" si="98"/>
        <v>0.66279424370211515</v>
      </c>
      <c r="I244" s="48">
        <f t="shared" si="98"/>
        <v>2.4586009469843981</v>
      </c>
      <c r="J244" s="48">
        <f t="shared" si="98"/>
        <v>0.81785571710635618</v>
      </c>
      <c r="K244" s="48">
        <f t="shared" si="98"/>
        <v>1.5143180012591675</v>
      </c>
      <c r="L244" s="48">
        <f t="shared" si="98"/>
        <v>1.6342229199372054</v>
      </c>
      <c r="M244" s="48">
        <f t="shared" si="98"/>
        <v>1.5099999999999998</v>
      </c>
      <c r="N244" s="48">
        <f t="shared" si="98"/>
        <v>0.73827179772647578</v>
      </c>
      <c r="O244" s="48" t="str">
        <f t="shared" si="98"/>
        <v/>
      </c>
      <c r="P244" s="53"/>
      <c r="T244" s="47">
        <f>IFERROR(T213/Inputs_Summary!E73*1000,"")</f>
        <v>0.81863263592815783</v>
      </c>
      <c r="U244" s="42">
        <f>T244+Inputs_Summary!$E$62</f>
        <v>1.1186326359281578</v>
      </c>
      <c r="V244" s="42">
        <f>U244+Inputs_Summary!E65*T129/T53</f>
        <v>1.2045755783063834</v>
      </c>
    </row>
    <row r="245" spans="2:25" x14ac:dyDescent="0.3">
      <c r="B245" s="3">
        <v>2040</v>
      </c>
      <c r="C245" s="48">
        <f t="shared" ref="C245:O245" si="99">IFERROR(C214/C54*1000,"")</f>
        <v>0.90855458132728406</v>
      </c>
      <c r="D245" s="48">
        <f t="shared" si="99"/>
        <v>0.72406945196427686</v>
      </c>
      <c r="E245" s="48">
        <f t="shared" si="99"/>
        <v>1.5178576039301797</v>
      </c>
      <c r="F245" s="48">
        <f t="shared" si="99"/>
        <v>13.142927945311509</v>
      </c>
      <c r="G245" s="48">
        <f t="shared" si="99"/>
        <v>0.71238497596270989</v>
      </c>
      <c r="H245" s="48">
        <f t="shared" si="99"/>
        <v>0.62005843437260666</v>
      </c>
      <c r="I245" s="48">
        <f t="shared" si="99"/>
        <v>2.4588409687061548</v>
      </c>
      <c r="J245" s="48">
        <f t="shared" si="99"/>
        <v>0.58292856178515373</v>
      </c>
      <c r="K245" s="48">
        <f t="shared" si="99"/>
        <v>1.5129295561431668</v>
      </c>
      <c r="L245" s="48">
        <f t="shared" si="99"/>
        <v>1.6344721906923951</v>
      </c>
      <c r="M245" s="48">
        <f t="shared" si="99"/>
        <v>1.5100000000000002</v>
      </c>
      <c r="N245" s="48">
        <f t="shared" si="99"/>
        <v>0.80966513250169714</v>
      </c>
      <c r="O245" s="48" t="str">
        <f t="shared" si="99"/>
        <v/>
      </c>
      <c r="P245" s="53"/>
      <c r="T245" s="47">
        <f>IFERROR(T214/Inputs_Summary!E74*1000,"")</f>
        <v>0.94953885694310902</v>
      </c>
      <c r="U245" s="42">
        <f>T245+Inputs_Summary!$E$62</f>
        <v>1.249538856943109</v>
      </c>
      <c r="V245" s="42">
        <f>U245+Inputs_Summary!E66*T130/T54</f>
        <v>1.3154927251813617</v>
      </c>
    </row>
    <row r="246" spans="2:25" x14ac:dyDescent="0.3">
      <c r="B246" s="3">
        <v>2050</v>
      </c>
      <c r="C246" s="48">
        <f t="shared" ref="C246:O246" si="100">IFERROR(C215/C55*1000,"")</f>
        <v>1.061209990118021</v>
      </c>
      <c r="D246" s="48">
        <f t="shared" si="100"/>
        <v>1.1220306421017161</v>
      </c>
      <c r="E246" s="48">
        <f t="shared" si="100"/>
        <v>1.5990414468844081</v>
      </c>
      <c r="F246" s="48">
        <f t="shared" si="100"/>
        <v>16.824613847053588</v>
      </c>
      <c r="G246" s="48">
        <f t="shared" si="100"/>
        <v>0.72507186247469257</v>
      </c>
      <c r="H246" s="48">
        <f t="shared" si="100"/>
        <v>0.62404230094357793</v>
      </c>
      <c r="I246" s="48" t="str">
        <f t="shared" si="100"/>
        <v/>
      </c>
      <c r="J246" s="48">
        <f t="shared" si="100"/>
        <v>0.48179812086266072</v>
      </c>
      <c r="K246" s="48">
        <f t="shared" si="100"/>
        <v>1.6477562145509848</v>
      </c>
      <c r="L246" s="48">
        <f t="shared" si="100"/>
        <v>1.65</v>
      </c>
      <c r="M246" s="48">
        <f t="shared" si="100"/>
        <v>1.51</v>
      </c>
      <c r="N246" s="48">
        <f t="shared" si="100"/>
        <v>0.79671723726335164</v>
      </c>
      <c r="O246" s="48" t="str">
        <f t="shared" si="100"/>
        <v/>
      </c>
      <c r="P246" s="53"/>
      <c r="T246" s="47">
        <f>IFERROR(T215/Inputs_Summary!E75*1000,"")</f>
        <v>1.0414526114167428</v>
      </c>
      <c r="U246" s="42">
        <f>T246+Inputs_Summary!$E$62</f>
        <v>1.3414526114167429</v>
      </c>
      <c r="V246" s="42">
        <f>U246+Inputs_Summary!E67*T131/T55</f>
        <v>1.3839643067999514</v>
      </c>
    </row>
    <row r="247" spans="2:25" x14ac:dyDescent="0.3">
      <c r="Y247" s="88"/>
    </row>
    <row r="248" spans="2:25" s="9" customFormat="1" ht="21" x14ac:dyDescent="0.4">
      <c r="B248" s="10" t="s">
        <v>131</v>
      </c>
      <c r="Y248" s="86"/>
    </row>
    <row r="249" spans="2:25" x14ac:dyDescent="0.3">
      <c r="Y249" s="12"/>
    </row>
    <row r="250" spans="2:25" ht="28.8" x14ac:dyDescent="0.3">
      <c r="B250" s="43" t="s">
        <v>124</v>
      </c>
      <c r="C250" s="43" t="s">
        <v>0</v>
      </c>
      <c r="D250" s="43" t="s">
        <v>1</v>
      </c>
      <c r="E250" s="43" t="s">
        <v>28</v>
      </c>
      <c r="F250" s="2" t="s">
        <v>29</v>
      </c>
      <c r="G250" s="2" t="s">
        <v>6</v>
      </c>
      <c r="H250" s="43" t="s">
        <v>2</v>
      </c>
      <c r="I250" s="43" t="s">
        <v>3</v>
      </c>
      <c r="J250" s="43" t="s">
        <v>4</v>
      </c>
      <c r="K250" s="43" t="s">
        <v>9</v>
      </c>
      <c r="L250" s="43" t="s">
        <v>8</v>
      </c>
      <c r="M250" s="43" t="s">
        <v>25</v>
      </c>
      <c r="N250" s="43" t="s">
        <v>7</v>
      </c>
      <c r="O250" s="43" t="s">
        <v>89</v>
      </c>
      <c r="P250" s="25"/>
      <c r="Q250" s="43" t="s">
        <v>5</v>
      </c>
      <c r="R250" s="43" t="s">
        <v>91</v>
      </c>
      <c r="T250" s="43" t="s">
        <v>10</v>
      </c>
      <c r="Y250" s="12"/>
    </row>
    <row r="251" spans="2:25" x14ac:dyDescent="0.3">
      <c r="B251" s="3">
        <v>2016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3"/>
      <c r="Q251" s="5">
        <f>G251+N251</f>
        <v>0</v>
      </c>
      <c r="R251" s="5">
        <f>SUM(K251:L251)</f>
        <v>0</v>
      </c>
      <c r="T251" s="5">
        <f>SUM(C251:O251)</f>
        <v>0</v>
      </c>
      <c r="Y251" s="12"/>
    </row>
    <row r="252" spans="2:25" x14ac:dyDescent="0.3">
      <c r="B252" s="3">
        <v>2030</v>
      </c>
      <c r="C252" s="50">
        <f>Inputs_Summary!E$53*((C11+C17))/14/1000</f>
        <v>27005.572857142859</v>
      </c>
      <c r="D252" s="50">
        <f>Inputs_Summary!F$53*((D11+D17))/14/1000</f>
        <v>0</v>
      </c>
      <c r="E252" s="50">
        <f>Inputs_Summary!G$53*((E11+E17))/14/1000</f>
        <v>2446.9714285714285</v>
      </c>
      <c r="F252" s="50">
        <f>Inputs_Summary!H$53*((F11+F17))/14/1000</f>
        <v>1809.1542857142856</v>
      </c>
      <c r="G252" s="50">
        <f>Inputs_Summary!I$53*((G11+G17))/14/1000</f>
        <v>0</v>
      </c>
      <c r="H252" s="50">
        <f>Inputs_Summary!J$53*((H11+H17))/14/1000</f>
        <v>4480</v>
      </c>
      <c r="I252" s="50">
        <f>Inputs_Summary!K$53*((I11+I17))/14/1000</f>
        <v>1578.5714285714287</v>
      </c>
      <c r="J252" s="50">
        <f>Inputs_Summary!L$53*((J11+J17))/14/1000</f>
        <v>3744.6171428571429</v>
      </c>
      <c r="K252" s="50">
        <f>Inputs_Summary!M$53*((K11+K17))/14/1000</f>
        <v>0</v>
      </c>
      <c r="L252" s="50">
        <f>Inputs_Summary!N$53*((L11+L17))/14/1000</f>
        <v>0</v>
      </c>
      <c r="M252" s="50">
        <f>Inputs_Summary!O$53*((M11+M17))/14/1000</f>
        <v>0</v>
      </c>
      <c r="N252" s="50">
        <f>Inputs_Summary!P$53*((N11+N17))/14/1000</f>
        <v>0</v>
      </c>
      <c r="O252" s="50">
        <f>Inputs_Summary!Q$53*((O11+O17))/14/1000</f>
        <v>0</v>
      </c>
      <c r="P252" s="53"/>
      <c r="Q252" s="5">
        <f>G252+N252</f>
        <v>0</v>
      </c>
      <c r="R252" s="5">
        <f>SUM(K252:L252)</f>
        <v>0</v>
      </c>
      <c r="T252" s="5">
        <f>SUM(C252:O252)</f>
        <v>41064.887142857136</v>
      </c>
      <c r="Y252" s="12"/>
    </row>
    <row r="253" spans="2:25" x14ac:dyDescent="0.3">
      <c r="B253" s="3">
        <v>2040</v>
      </c>
      <c r="C253" s="50">
        <f>Inputs_Summary!E$53*((C12+C18))/10/1000</f>
        <v>60820.802000000003</v>
      </c>
      <c r="D253" s="50">
        <f>Inputs_Summary!F$53*((D12+D18))/10/1000</f>
        <v>4009.05</v>
      </c>
      <c r="E253" s="50">
        <f>Inputs_Summary!G$53*((E12+E18))/10/1000</f>
        <v>7879.2479999999996</v>
      </c>
      <c r="F253" s="50">
        <f>Inputs_Summary!H$53*((F12+F18))/10/1000</f>
        <v>5312.7359999999999</v>
      </c>
      <c r="G253" s="50">
        <f>Inputs_Summary!I$53*((G12+G18))/10/1000</f>
        <v>0</v>
      </c>
      <c r="H253" s="50">
        <f>Inputs_Summary!J$53*((H12+H18))/10/1000</f>
        <v>13632</v>
      </c>
      <c r="I253" s="50">
        <f>Inputs_Summary!K$53*((I12+I18))/10/1000</f>
        <v>2210</v>
      </c>
      <c r="J253" s="50">
        <f>Inputs_Summary!L$53*((J12+J18))/10/1000</f>
        <v>10422.144</v>
      </c>
      <c r="K253" s="50">
        <f>Inputs_Summary!M$53*((K12+K18))/10/1000</f>
        <v>0</v>
      </c>
      <c r="L253" s="50">
        <f>Inputs_Summary!N$53*((L12+L18))/10/1000</f>
        <v>0</v>
      </c>
      <c r="M253" s="50">
        <f>Inputs_Summary!O$53*((M12+M18))/10/1000</f>
        <v>0</v>
      </c>
      <c r="N253" s="50">
        <f>Inputs_Summary!P$53*((N12+N18))/10/1000</f>
        <v>0</v>
      </c>
      <c r="O253" s="50">
        <f>Inputs_Summary!Q$53*((O12+O18))/10/1000</f>
        <v>0</v>
      </c>
      <c r="P253" s="53"/>
      <c r="Q253" s="5">
        <f>G253+N253</f>
        <v>0</v>
      </c>
      <c r="R253" s="5">
        <f>SUM(K253:L253)</f>
        <v>0</v>
      </c>
      <c r="T253" s="5">
        <f>SUM(C253:O253)</f>
        <v>104285.98000000001</v>
      </c>
      <c r="Y253" s="12"/>
    </row>
    <row r="254" spans="2:25" x14ac:dyDescent="0.3">
      <c r="B254" s="3">
        <v>2050</v>
      </c>
      <c r="C254" s="50">
        <f>Inputs_Summary!E$53*((C13+C19))/10/1000</f>
        <v>62738.552000000003</v>
      </c>
      <c r="D254" s="50">
        <f>Inputs_Summary!F$53*((D13+D19))/10/1000</f>
        <v>30067.875</v>
      </c>
      <c r="E254" s="50">
        <f>Inputs_Summary!G$53*((E13+E19))/10/1000</f>
        <v>10277.280000000001</v>
      </c>
      <c r="F254" s="50">
        <f>Inputs_Summary!H$53*((F13+F19))/10/1000</f>
        <v>6239.3760000000002</v>
      </c>
      <c r="G254" s="50">
        <f>Inputs_Summary!I$53*((G13+G19))/10/1000</f>
        <v>0</v>
      </c>
      <c r="H254" s="50">
        <f>Inputs_Summary!J$53*((H13+H19))/10/1000</f>
        <v>19456</v>
      </c>
      <c r="I254" s="50">
        <f>Inputs_Summary!K$53*((I13+I19))/10/1000</f>
        <v>0</v>
      </c>
      <c r="J254" s="50">
        <f>Inputs_Summary!L$53*((J13+J19))/10/1000</f>
        <v>13795.04</v>
      </c>
      <c r="K254" s="50">
        <f>Inputs_Summary!M$53*((K13+K19))/10/1000</f>
        <v>0</v>
      </c>
      <c r="L254" s="50">
        <f>Inputs_Summary!N$53*((L13+L19))/10/1000</f>
        <v>0</v>
      </c>
      <c r="M254" s="50">
        <f>Inputs_Summary!O$53*((M13+M19))/10/1000</f>
        <v>0</v>
      </c>
      <c r="N254" s="50">
        <f>Inputs_Summary!P$53*((N13+N19))/10/1000</f>
        <v>0</v>
      </c>
      <c r="O254" s="50">
        <f>Inputs_Summary!Q$53*((O13+O19))/10/1000</f>
        <v>0</v>
      </c>
      <c r="P254" s="53"/>
      <c r="Q254" s="5">
        <f>G254+N254</f>
        <v>0</v>
      </c>
      <c r="R254" s="5">
        <f>SUM(K254:L254)</f>
        <v>0</v>
      </c>
      <c r="T254" s="5">
        <f>SUM(C254:O254)</f>
        <v>142574.12299999999</v>
      </c>
      <c r="Y254" s="12"/>
    </row>
    <row r="255" spans="2:25" x14ac:dyDescent="0.3">
      <c r="B255" s="41"/>
      <c r="Y255" s="12"/>
    </row>
    <row r="256" spans="2:25" ht="28.8" x14ac:dyDescent="0.3">
      <c r="B256" s="43" t="s">
        <v>125</v>
      </c>
      <c r="C256" s="43" t="s">
        <v>0</v>
      </c>
      <c r="D256" s="43" t="s">
        <v>1</v>
      </c>
      <c r="E256" s="43" t="s">
        <v>28</v>
      </c>
      <c r="F256" s="2" t="s">
        <v>29</v>
      </c>
      <c r="G256" s="2" t="s">
        <v>6</v>
      </c>
      <c r="H256" s="43" t="s">
        <v>2</v>
      </c>
      <c r="I256" s="43" t="s">
        <v>3</v>
      </c>
      <c r="J256" s="43" t="s">
        <v>4</v>
      </c>
      <c r="K256" s="43" t="s">
        <v>9</v>
      </c>
      <c r="L256" s="43" t="s">
        <v>8</v>
      </c>
      <c r="M256" s="43" t="s">
        <v>25</v>
      </c>
      <c r="N256" s="43" t="s">
        <v>7</v>
      </c>
      <c r="O256" s="43" t="s">
        <v>89</v>
      </c>
      <c r="P256" s="25"/>
      <c r="Q256" s="43" t="s">
        <v>5</v>
      </c>
      <c r="R256" s="43" t="s">
        <v>91</v>
      </c>
      <c r="T256" s="43" t="s">
        <v>10</v>
      </c>
      <c r="Y256" s="12"/>
    </row>
    <row r="257" spans="2:25" x14ac:dyDescent="0.3">
      <c r="B257" s="3">
        <v>2016</v>
      </c>
      <c r="C257" s="50">
        <f>C52*Inputs_Summary!E$54/1000</f>
        <v>47107.164827120068</v>
      </c>
      <c r="D257" s="50">
        <f>D52*Inputs_Summary!F$54/1000</f>
        <v>1194.2541863648376</v>
      </c>
      <c r="E257" s="50">
        <f>E52*Inputs_Summary!G$54/1000</f>
        <v>24.194456191623686</v>
      </c>
      <c r="F257" s="50">
        <f>F52*Inputs_Summary!H$54/1000</f>
        <v>64.778037480530941</v>
      </c>
      <c r="G257" s="50">
        <f>G52*Inputs_Summary!I$54/1000</f>
        <v>0</v>
      </c>
      <c r="H257" s="50">
        <f>H52*Inputs_Summary!J$54/1000</f>
        <v>539.58062264825435</v>
      </c>
      <c r="I257" s="50">
        <f>I52*Inputs_Summary!K$54/1000</f>
        <v>118.48109129456755</v>
      </c>
      <c r="J257" s="50">
        <f>J52*Inputs_Summary!L$54/1000</f>
        <v>290.29948580609926</v>
      </c>
      <c r="K257" s="50">
        <f>K52*Inputs_Summary!M$54/1000</f>
        <v>0</v>
      </c>
      <c r="L257" s="50">
        <f>L52*Inputs_Summary!N$54/1000</f>
        <v>0</v>
      </c>
      <c r="M257" s="50">
        <f>M52*Inputs_Summary!O$54/1000</f>
        <v>0</v>
      </c>
      <c r="N257" s="50">
        <f>N52*Inputs_Summary!P$54/1000</f>
        <v>0</v>
      </c>
      <c r="O257" s="50">
        <f>O52*Inputs_Summary!Q$54/1000</f>
        <v>0</v>
      </c>
      <c r="P257" s="53"/>
      <c r="Q257" s="5">
        <f>G257+N257</f>
        <v>0</v>
      </c>
      <c r="R257" s="5">
        <f>SUM(K257:L257)</f>
        <v>0</v>
      </c>
      <c r="T257" s="5">
        <f>SUM(C257:O257)</f>
        <v>49338.75270690598</v>
      </c>
      <c r="Y257" s="12"/>
    </row>
    <row r="258" spans="2:25" x14ac:dyDescent="0.3">
      <c r="B258" s="3">
        <v>2030</v>
      </c>
      <c r="C258" s="50">
        <f>C53*Inputs_Summary!E$54/1000</f>
        <v>55784.619154172971</v>
      </c>
      <c r="D258" s="50">
        <f>D53*Inputs_Summary!F$54/1000</f>
        <v>1184.4053122808289</v>
      </c>
      <c r="E258" s="50">
        <f>E53*Inputs_Summary!G$54/1000</f>
        <v>506.91685695088051</v>
      </c>
      <c r="F258" s="50">
        <f>F53*Inputs_Summary!H$54/1000</f>
        <v>20.725787403503258</v>
      </c>
      <c r="G258" s="50">
        <f>G53*Inputs_Summary!I$54/1000</f>
        <v>0</v>
      </c>
      <c r="H258" s="50">
        <f>H53*Inputs_Summary!J$54/1000</f>
        <v>4272.9801026202886</v>
      </c>
      <c r="I258" s="50">
        <f>I53*Inputs_Summary!K$54/1000</f>
        <v>657.01358051016859</v>
      </c>
      <c r="J258" s="50">
        <f>J53*Inputs_Summary!L$54/1000</f>
        <v>1461.6983962702977</v>
      </c>
      <c r="K258" s="50">
        <f>K53*Inputs_Summary!M$54/1000</f>
        <v>0</v>
      </c>
      <c r="L258" s="50">
        <f>L53*Inputs_Summary!N$54/1000</f>
        <v>0</v>
      </c>
      <c r="M258" s="50">
        <f>M53*Inputs_Summary!O$54/1000</f>
        <v>0</v>
      </c>
      <c r="N258" s="50">
        <f>N53*Inputs_Summary!P$54/1000</f>
        <v>0</v>
      </c>
      <c r="O258" s="50">
        <f>O53*Inputs_Summary!Q$54/1000</f>
        <v>0</v>
      </c>
      <c r="P258" s="53"/>
      <c r="Q258" s="5">
        <f>G258+N258</f>
        <v>0</v>
      </c>
      <c r="R258" s="5">
        <f>SUM(K258:L258)</f>
        <v>0</v>
      </c>
      <c r="T258" s="5">
        <f>SUM(C258:O258)</f>
        <v>63888.359190208939</v>
      </c>
      <c r="Y258" s="12"/>
    </row>
    <row r="259" spans="2:25" x14ac:dyDescent="0.3">
      <c r="B259" s="3">
        <v>2040</v>
      </c>
      <c r="C259" s="50">
        <f>C54*Inputs_Summary!E$54/1000</f>
        <v>52430.739964212691</v>
      </c>
      <c r="D259" s="50">
        <f>D54*Inputs_Summary!F$54/1000</f>
        <v>2817.3573510195706</v>
      </c>
      <c r="E259" s="50">
        <f>E54*Inputs_Summary!G$54/1000</f>
        <v>1451.9907159862878</v>
      </c>
      <c r="F259" s="50">
        <f>F54*Inputs_Summary!H$54/1000</f>
        <v>31.042471486427804</v>
      </c>
      <c r="G259" s="50">
        <f>G54*Inputs_Summary!I$54/1000</f>
        <v>0</v>
      </c>
      <c r="H259" s="50">
        <f>H54*Inputs_Summary!J$54/1000</f>
        <v>7877.5091656358127</v>
      </c>
      <c r="I259" s="50">
        <f>I54*Inputs_Summary!K$54/1000</f>
        <v>658.48762302925843</v>
      </c>
      <c r="J259" s="50">
        <f>J54*Inputs_Summary!L$54/1000</f>
        <v>2431.9816170733498</v>
      </c>
      <c r="K259" s="50">
        <f>K54*Inputs_Summary!M$54/1000</f>
        <v>0</v>
      </c>
      <c r="L259" s="50">
        <f>L54*Inputs_Summary!N$54/1000</f>
        <v>0</v>
      </c>
      <c r="M259" s="50">
        <f>M54*Inputs_Summary!O$54/1000</f>
        <v>0</v>
      </c>
      <c r="N259" s="50">
        <f>N54*Inputs_Summary!P$54/1000</f>
        <v>0</v>
      </c>
      <c r="O259" s="50">
        <f>O54*Inputs_Summary!Q$54/1000</f>
        <v>0</v>
      </c>
      <c r="P259" s="53"/>
      <c r="Q259" s="5">
        <f>G259+N259</f>
        <v>0</v>
      </c>
      <c r="R259" s="5">
        <f>SUM(K259:L259)</f>
        <v>0</v>
      </c>
      <c r="T259" s="5">
        <f>SUM(C259:O259)</f>
        <v>67699.108908443392</v>
      </c>
      <c r="Y259" s="12"/>
    </row>
    <row r="260" spans="2:25" x14ac:dyDescent="0.3">
      <c r="B260" s="3">
        <v>2050</v>
      </c>
      <c r="C260" s="50">
        <f>C55*Inputs_Summary!E$54/1000</f>
        <v>40668.805723450248</v>
      </c>
      <c r="D260" s="50">
        <f>D55*Inputs_Summary!F$54/1000</f>
        <v>11979.017372432758</v>
      </c>
      <c r="E260" s="50">
        <f>E55*Inputs_Summary!G$54/1000</f>
        <v>1573.890783001824</v>
      </c>
      <c r="F260" s="50">
        <f>F55*Inputs_Summary!H$54/1000</f>
        <v>26.996243800221642</v>
      </c>
      <c r="G260" s="50">
        <f>G55*Inputs_Summary!I$54/1000</f>
        <v>0</v>
      </c>
      <c r="H260" s="50">
        <f>H55*Inputs_Summary!J$54/1000</f>
        <v>11171.242701751247</v>
      </c>
      <c r="I260" s="50">
        <f>I55*Inputs_Summary!K$54/1000</f>
        <v>0</v>
      </c>
      <c r="J260" s="50">
        <f>J55*Inputs_Summary!L$54/1000</f>
        <v>3084.5508432848992</v>
      </c>
      <c r="K260" s="50">
        <f>K55*Inputs_Summary!M$54/1000</f>
        <v>0</v>
      </c>
      <c r="L260" s="50">
        <f>L55*Inputs_Summary!N$54/1000</f>
        <v>0</v>
      </c>
      <c r="M260" s="50">
        <f>M55*Inputs_Summary!O$54/1000</f>
        <v>0</v>
      </c>
      <c r="N260" s="50">
        <f>N55*Inputs_Summary!P$54/1000</f>
        <v>0</v>
      </c>
      <c r="O260" s="50">
        <f>O55*Inputs_Summary!Q$54/1000</f>
        <v>0</v>
      </c>
      <c r="P260" s="53"/>
      <c r="Q260" s="5">
        <f>G260+N260</f>
        <v>0</v>
      </c>
      <c r="R260" s="5">
        <f>SUM(K260:L260)</f>
        <v>0</v>
      </c>
      <c r="T260" s="5">
        <f>SUM(C260:O260)</f>
        <v>68504.50366772119</v>
      </c>
      <c r="Y260" s="12"/>
    </row>
    <row r="261" spans="2:25" x14ac:dyDescent="0.3">
      <c r="B261" s="11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11"/>
      <c r="R261" s="11"/>
      <c r="Y261" s="12"/>
    </row>
    <row r="262" spans="2:25" ht="28.8" x14ac:dyDescent="0.3">
      <c r="B262" s="43" t="s">
        <v>126</v>
      </c>
      <c r="C262" s="43" t="s">
        <v>0</v>
      </c>
      <c r="D262" s="43" t="s">
        <v>1</v>
      </c>
      <c r="E262" s="43" t="s">
        <v>28</v>
      </c>
      <c r="F262" s="2" t="s">
        <v>29</v>
      </c>
      <c r="G262" s="2" t="s">
        <v>6</v>
      </c>
      <c r="H262" s="43" t="s">
        <v>2</v>
      </c>
      <c r="I262" s="43" t="s">
        <v>3</v>
      </c>
      <c r="J262" s="43" t="s">
        <v>4</v>
      </c>
      <c r="K262" s="43" t="s">
        <v>9</v>
      </c>
      <c r="L262" s="43" t="s">
        <v>8</v>
      </c>
      <c r="M262" s="43" t="s">
        <v>25</v>
      </c>
      <c r="N262" s="43" t="s">
        <v>7</v>
      </c>
      <c r="O262" s="43" t="s">
        <v>89</v>
      </c>
      <c r="P262" s="25"/>
      <c r="Q262" s="43" t="s">
        <v>5</v>
      </c>
      <c r="R262" s="43" t="s">
        <v>91</v>
      </c>
      <c r="T262" s="43" t="s">
        <v>10</v>
      </c>
      <c r="Y262" s="12"/>
    </row>
    <row r="263" spans="2:25" x14ac:dyDescent="0.3">
      <c r="B263" s="3">
        <v>2016</v>
      </c>
      <c r="C263" s="50">
        <v>0</v>
      </c>
      <c r="D263" s="50">
        <v>0</v>
      </c>
      <c r="E263" s="50">
        <v>0</v>
      </c>
      <c r="F263" s="50">
        <v>0</v>
      </c>
      <c r="G263" s="50">
        <v>0</v>
      </c>
      <c r="H263" s="50">
        <v>0</v>
      </c>
      <c r="I263" s="50">
        <v>0</v>
      </c>
      <c r="J263" s="50">
        <v>0</v>
      </c>
      <c r="K263" s="50">
        <v>0</v>
      </c>
      <c r="L263" s="50">
        <v>0</v>
      </c>
      <c r="M263" s="50">
        <v>0</v>
      </c>
      <c r="N263" s="50">
        <v>0</v>
      </c>
      <c r="O263" s="50">
        <v>0</v>
      </c>
      <c r="P263" s="53"/>
      <c r="Q263" s="5">
        <f>G263+N263</f>
        <v>0</v>
      </c>
      <c r="R263" s="5">
        <f>SUM(K263:L263)</f>
        <v>0</v>
      </c>
      <c r="T263" s="5">
        <f>SUM(C263:O263)</f>
        <v>0</v>
      </c>
      <c r="Y263" s="12"/>
    </row>
    <row r="264" spans="2:25" x14ac:dyDescent="0.3">
      <c r="B264" s="3">
        <v>2030</v>
      </c>
      <c r="C264" s="50">
        <f>Inputs_Summary!E$56*((C11+C17)-(C10+C16))/14/1000</f>
        <v>6017.3828571428576</v>
      </c>
      <c r="D264" s="50">
        <f>Inputs_Summary!F$56*((D11+D17)-(D10+D16))/14/1000</f>
        <v>0</v>
      </c>
      <c r="E264" s="50">
        <f>Inputs_Summary!G$56*((E11+E17)-(E10+E16))/14/1000</f>
        <v>418.28571428571428</v>
      </c>
      <c r="F264" s="50">
        <f>Inputs_Summary!H$56*((F11+F17)-(F10+F16))/14/1000</f>
        <v>309.25714285714287</v>
      </c>
      <c r="G264" s="50">
        <f>Inputs_Summary!I$56*((G11+G17)-(G10+G16))/14/1000</f>
        <v>0</v>
      </c>
      <c r="H264" s="50">
        <f>Inputs_Summary!J$56*((H11+H17)-(H10+H16))/14/1000</f>
        <v>3031.6</v>
      </c>
      <c r="I264" s="50">
        <f>Inputs_Summary!K$56*((I11+I17)-(I10+I16))/14/1000</f>
        <v>546.42857142857144</v>
      </c>
      <c r="J264" s="50">
        <f>Inputs_Summary!L$56*((J11+J17)-(J10+J16))/14/1000</f>
        <v>2112.7885714285712</v>
      </c>
      <c r="K264" s="50">
        <f>Inputs_Summary!M$56*((K11+K17)-(K10+K16))/14/1000</f>
        <v>0</v>
      </c>
      <c r="L264" s="50">
        <f>Inputs_Summary!N$56*((L11+L17)-(L10+L16))/14/1000</f>
        <v>0</v>
      </c>
      <c r="M264" s="50">
        <f>Inputs_Summary!O$56*((M11+M17)-(M10+M16))/14/1000</f>
        <v>0</v>
      </c>
      <c r="N264" s="50">
        <f>Inputs_Summary!P$56*((N11+N17)-(N10+N16))/14/1000</f>
        <v>0</v>
      </c>
      <c r="O264" s="50">
        <f>Inputs_Summary!Q$56*((O11+O17)-(O10+O16))/14/1000</f>
        <v>0</v>
      </c>
      <c r="P264" s="53"/>
      <c r="Q264" s="5">
        <f>G264+N264</f>
        <v>0</v>
      </c>
      <c r="R264" s="5">
        <f>SUM(K264:L264)</f>
        <v>0</v>
      </c>
      <c r="T264" s="5">
        <f>SUM(C264:O264)</f>
        <v>12435.742857142857</v>
      </c>
      <c r="Y264" s="12"/>
    </row>
    <row r="265" spans="2:25" x14ac:dyDescent="0.3">
      <c r="B265" s="3">
        <v>2040</v>
      </c>
      <c r="C265" s="50">
        <f>Inputs_Summary!E$56*((C12+C18))/10/1000</f>
        <v>14247.814</v>
      </c>
      <c r="D265" s="50">
        <f>Inputs_Summary!F$56*((D12+D18))/10/1000</f>
        <v>2296.71</v>
      </c>
      <c r="E265" s="50">
        <f>Inputs_Summary!G$56*((E12+E18))/10/1000</f>
        <v>1346.88</v>
      </c>
      <c r="F265" s="50">
        <f>Inputs_Summary!H$56*((F12+F18))/10/1000</f>
        <v>908.16</v>
      </c>
      <c r="G265" s="50">
        <f>Inputs_Summary!I$56*((G12+G18))/10/1000</f>
        <v>0</v>
      </c>
      <c r="H265" s="50">
        <f>Inputs_Summary!J$56*((H12+H18))/10/1000</f>
        <v>9372</v>
      </c>
      <c r="I265" s="50">
        <f>Inputs_Summary!K$56*((I12+I18))/10/1000</f>
        <v>765</v>
      </c>
      <c r="J265" s="50">
        <f>Inputs_Summary!L$56*((J12+J18))/10/1000</f>
        <v>5880.384</v>
      </c>
      <c r="K265" s="50">
        <f>Inputs_Summary!M$56*((K12+K18))/10/1000</f>
        <v>0</v>
      </c>
      <c r="L265" s="50">
        <f>Inputs_Summary!N$56*((L12+L18))/10/1000</f>
        <v>0</v>
      </c>
      <c r="M265" s="50">
        <f>Inputs_Summary!O$56*((M12+M18))/10/1000</f>
        <v>0</v>
      </c>
      <c r="N265" s="50">
        <f>Inputs_Summary!P$56*((N12+N18))/10/1000</f>
        <v>0</v>
      </c>
      <c r="O265" s="50">
        <f>Inputs_Summary!Q$56*((O12+O18))/10/1000</f>
        <v>0</v>
      </c>
      <c r="P265" s="53"/>
      <c r="Q265" s="5">
        <f>G265+N265</f>
        <v>0</v>
      </c>
      <c r="R265" s="5">
        <f>SUM(K265:L265)</f>
        <v>0</v>
      </c>
      <c r="T265" s="5">
        <f>SUM(C265:O265)</f>
        <v>34816.948000000004</v>
      </c>
      <c r="Y265" s="12"/>
    </row>
    <row r="266" spans="2:25" x14ac:dyDescent="0.3">
      <c r="B266" s="3">
        <v>2050</v>
      </c>
      <c r="C266" s="50">
        <f>Inputs_Summary!E$56*((C13+C19))/10/1000</f>
        <v>14697.064</v>
      </c>
      <c r="D266" s="50">
        <f>Inputs_Summary!F$56*((D13+D19))/10/1000</f>
        <v>17225.325000000001</v>
      </c>
      <c r="E266" s="50">
        <f>Inputs_Summary!G$56*((E13+E19))/10/1000</f>
        <v>1756.8</v>
      </c>
      <c r="F266" s="50">
        <f>Inputs_Summary!H$56*((F13+F19))/10/1000</f>
        <v>1066.56</v>
      </c>
      <c r="G266" s="50">
        <f>Inputs_Summary!I$56*((G13+G19))/10/1000</f>
        <v>0</v>
      </c>
      <c r="H266" s="50">
        <f>Inputs_Summary!J$56*((H13+H19))/10/1000</f>
        <v>13376</v>
      </c>
      <c r="I266" s="50">
        <f>Inputs_Summary!K$56*((I13+I19))/10/1000</f>
        <v>0</v>
      </c>
      <c r="J266" s="50">
        <f>Inputs_Summary!L$56*((J13+J19))/10/1000</f>
        <v>7783.44</v>
      </c>
      <c r="K266" s="50">
        <f>Inputs_Summary!M$56*((K13+K19))/10/1000</f>
        <v>0</v>
      </c>
      <c r="L266" s="50">
        <f>Inputs_Summary!N$56*((L13+L19))/10/1000</f>
        <v>0</v>
      </c>
      <c r="M266" s="50">
        <f>Inputs_Summary!O$56*((M13+M19))/10/1000</f>
        <v>0</v>
      </c>
      <c r="N266" s="50">
        <f>Inputs_Summary!P$56*((N13+N19))/10/1000</f>
        <v>0</v>
      </c>
      <c r="O266" s="50">
        <f>Inputs_Summary!Q$56*((O13+O19))/10/1000</f>
        <v>0</v>
      </c>
      <c r="P266" s="53"/>
      <c r="Q266" s="5">
        <f>G266+N266</f>
        <v>0</v>
      </c>
      <c r="R266" s="5">
        <f>SUM(K266:L266)</f>
        <v>0</v>
      </c>
      <c r="T266" s="5">
        <f>SUM(C266:O266)</f>
        <v>55905.189000000006</v>
      </c>
      <c r="Y266" s="12"/>
    </row>
    <row r="267" spans="2:25" x14ac:dyDescent="0.3">
      <c r="B267" s="41"/>
      <c r="Y267" s="12"/>
    </row>
    <row r="268" spans="2:25" ht="28.8" x14ac:dyDescent="0.3">
      <c r="B268" s="43" t="s">
        <v>127</v>
      </c>
      <c r="C268" s="43" t="s">
        <v>0</v>
      </c>
      <c r="D268" s="43" t="s">
        <v>1</v>
      </c>
      <c r="E268" s="43" t="s">
        <v>28</v>
      </c>
      <c r="F268" s="2" t="s">
        <v>29</v>
      </c>
      <c r="G268" s="2" t="s">
        <v>6</v>
      </c>
      <c r="H268" s="43" t="s">
        <v>2</v>
      </c>
      <c r="I268" s="43" t="s">
        <v>3</v>
      </c>
      <c r="J268" s="43" t="s">
        <v>4</v>
      </c>
      <c r="K268" s="43" t="s">
        <v>9</v>
      </c>
      <c r="L268" s="43" t="s">
        <v>8</v>
      </c>
      <c r="M268" s="43" t="s">
        <v>25</v>
      </c>
      <c r="N268" s="43" t="s">
        <v>7</v>
      </c>
      <c r="O268" s="43" t="s">
        <v>89</v>
      </c>
      <c r="P268" s="25"/>
      <c r="Q268" s="43" t="s">
        <v>5</v>
      </c>
      <c r="R268" s="43" t="s">
        <v>91</v>
      </c>
      <c r="T268" s="43" t="s">
        <v>10</v>
      </c>
      <c r="Y268" s="12"/>
    </row>
    <row r="269" spans="2:25" x14ac:dyDescent="0.3">
      <c r="B269" s="38"/>
      <c r="C269" s="50">
        <f>C52*Inputs_Summary!E$57/1000</f>
        <v>29441.978016950041</v>
      </c>
      <c r="D269" s="50">
        <f>D52*Inputs_Summary!F$57/1000</f>
        <v>176.92654612812407</v>
      </c>
      <c r="E269" s="50">
        <f>E52*Inputs_Summary!G$57/1000</f>
        <v>4.5364605359294412</v>
      </c>
      <c r="F269" s="50">
        <f>F52*Inputs_Summary!H$57/1000</f>
        <v>12.145882027599551</v>
      </c>
      <c r="G269" s="50">
        <f>G52*Inputs_Summary!I$57/1000</f>
        <v>0</v>
      </c>
      <c r="H269" s="50">
        <f>H52*Inputs_Summary!J$57/1000</f>
        <v>17.986020754941812</v>
      </c>
      <c r="I269" s="50">
        <f>I52*Inputs_Summary!K$57/1000</f>
        <v>13.670895149373179</v>
      </c>
      <c r="J269" s="50">
        <f>J52*Inputs_Summary!L$57/1000</f>
        <v>47.503552222816239</v>
      </c>
      <c r="K269" s="50">
        <f>K52*Inputs_Summary!M$57/1000</f>
        <v>0</v>
      </c>
      <c r="L269" s="50">
        <f>L52*Inputs_Summary!N$57/1000</f>
        <v>0</v>
      </c>
      <c r="M269" s="50">
        <f>M52*Inputs_Summary!O$57/1000</f>
        <v>0</v>
      </c>
      <c r="N269" s="50">
        <f>N52*Inputs_Summary!P$57/1000</f>
        <v>0</v>
      </c>
      <c r="O269" s="50">
        <f>O52*Inputs_Summary!Q$57/1000</f>
        <v>0</v>
      </c>
      <c r="P269" s="53"/>
      <c r="Q269" s="5">
        <f>G269+N269</f>
        <v>0</v>
      </c>
      <c r="R269" s="5">
        <f>SUM(K269:L269)</f>
        <v>0</v>
      </c>
      <c r="T269" s="5">
        <f>SUM(C269:O269)</f>
        <v>29714.747373768827</v>
      </c>
      <c r="Y269" s="12"/>
    </row>
    <row r="270" spans="2:25" x14ac:dyDescent="0.3">
      <c r="C270" s="50">
        <f>C53*Inputs_Summary!E$57/1000</f>
        <v>34865.386971358115</v>
      </c>
      <c r="D270" s="50">
        <f>D53*Inputs_Summary!F$57/1000</f>
        <v>175.4674536712339</v>
      </c>
      <c r="E270" s="50">
        <f>E53*Inputs_Summary!G$57/1000</f>
        <v>95.046910678290089</v>
      </c>
      <c r="F270" s="50">
        <f>F53*Inputs_Summary!H$57/1000</f>
        <v>3.8860851381568611</v>
      </c>
      <c r="G270" s="50">
        <f>G53*Inputs_Summary!I$57/1000</f>
        <v>0</v>
      </c>
      <c r="H270" s="50">
        <f>H53*Inputs_Summary!J$57/1000</f>
        <v>142.43267008734296</v>
      </c>
      <c r="I270" s="50">
        <f>I53*Inputs_Summary!K$57/1000</f>
        <v>75.809259289634838</v>
      </c>
      <c r="J270" s="50">
        <f>J53*Inputs_Summary!L$57/1000</f>
        <v>239.18701029877599</v>
      </c>
      <c r="K270" s="50">
        <f>K53*Inputs_Summary!M$57/1000</f>
        <v>0</v>
      </c>
      <c r="L270" s="50">
        <f>L53*Inputs_Summary!N$57/1000</f>
        <v>0</v>
      </c>
      <c r="M270" s="50">
        <f>M53*Inputs_Summary!O$57/1000</f>
        <v>0</v>
      </c>
      <c r="N270" s="50">
        <f>N53*Inputs_Summary!P$57/1000</f>
        <v>0</v>
      </c>
      <c r="O270" s="50">
        <f>O53*Inputs_Summary!Q$57/1000</f>
        <v>0</v>
      </c>
      <c r="P270" s="53"/>
      <c r="Q270" s="5">
        <f>G270+N270</f>
        <v>0</v>
      </c>
      <c r="R270" s="5">
        <f>SUM(K270:L270)</f>
        <v>0</v>
      </c>
      <c r="T270" s="5">
        <f>SUM(C270:O270)</f>
        <v>35597.216360521546</v>
      </c>
      <c r="Y270" s="12"/>
    </row>
    <row r="271" spans="2:25" x14ac:dyDescent="0.3">
      <c r="C271" s="50">
        <f>C54*Inputs_Summary!E$57/1000</f>
        <v>32769.212477632936</v>
      </c>
      <c r="D271" s="50">
        <f>D54*Inputs_Summary!F$57/1000</f>
        <v>417.38627422512161</v>
      </c>
      <c r="E271" s="50">
        <f>E54*Inputs_Summary!G$57/1000</f>
        <v>272.24825924742896</v>
      </c>
      <c r="F271" s="50">
        <f>F54*Inputs_Summary!H$57/1000</f>
        <v>5.8204634037052125</v>
      </c>
      <c r="G271" s="50">
        <f>G54*Inputs_Summary!I$57/1000</f>
        <v>0</v>
      </c>
      <c r="H271" s="50">
        <f>H54*Inputs_Summary!J$57/1000</f>
        <v>262.58363885452707</v>
      </c>
      <c r="I271" s="50">
        <f>I54*Inputs_Summary!K$57/1000</f>
        <v>75.979341118760601</v>
      </c>
      <c r="J271" s="50">
        <f>J54*Inputs_Summary!L$57/1000</f>
        <v>397.96062824836633</v>
      </c>
      <c r="K271" s="50">
        <f>K54*Inputs_Summary!M$57/1000</f>
        <v>0</v>
      </c>
      <c r="L271" s="50">
        <f>L54*Inputs_Summary!N$57/1000</f>
        <v>0</v>
      </c>
      <c r="M271" s="50">
        <f>M54*Inputs_Summary!O$57/1000</f>
        <v>0</v>
      </c>
      <c r="N271" s="50">
        <f>N54*Inputs_Summary!P$57/1000</f>
        <v>0</v>
      </c>
      <c r="O271" s="50">
        <f>O54*Inputs_Summary!Q$57/1000</f>
        <v>0</v>
      </c>
      <c r="P271" s="53"/>
      <c r="Q271" s="5">
        <f>G271+N271</f>
        <v>0</v>
      </c>
      <c r="R271" s="5">
        <f>SUM(K271:L271)</f>
        <v>0</v>
      </c>
      <c r="T271" s="5">
        <f>SUM(C271:O271)</f>
        <v>34201.191082730846</v>
      </c>
      <c r="Y271" s="12"/>
    </row>
    <row r="272" spans="2:25" x14ac:dyDescent="0.3">
      <c r="C272" s="50">
        <f>C55*Inputs_Summary!E$57/1000</f>
        <v>25418.003577156407</v>
      </c>
      <c r="D272" s="50">
        <f>D55*Inputs_Summary!F$57/1000</f>
        <v>1774.6692403604086</v>
      </c>
      <c r="E272" s="50">
        <f>E55*Inputs_Summary!G$57/1000</f>
        <v>295.10452181284199</v>
      </c>
      <c r="F272" s="50">
        <f>F55*Inputs_Summary!H$57/1000</f>
        <v>5.0617957125415582</v>
      </c>
      <c r="G272" s="50">
        <f>G55*Inputs_Summary!I$57/1000</f>
        <v>0</v>
      </c>
      <c r="H272" s="50">
        <f>H55*Inputs_Summary!J$57/1000</f>
        <v>372.37475672504155</v>
      </c>
      <c r="I272" s="50">
        <f>I55*Inputs_Summary!K$57/1000</f>
        <v>0</v>
      </c>
      <c r="J272" s="50">
        <f>J55*Inputs_Summary!L$57/1000</f>
        <v>504.74468344661989</v>
      </c>
      <c r="K272" s="50">
        <f>K55*Inputs_Summary!M$57/1000</f>
        <v>0</v>
      </c>
      <c r="L272" s="50">
        <f>L55*Inputs_Summary!N$57/1000</f>
        <v>0</v>
      </c>
      <c r="M272" s="50">
        <f>M55*Inputs_Summary!O$57/1000</f>
        <v>0</v>
      </c>
      <c r="N272" s="50">
        <f>N55*Inputs_Summary!P$57/1000</f>
        <v>0</v>
      </c>
      <c r="O272" s="50">
        <f>O55*Inputs_Summary!Q$57/1000</f>
        <v>0</v>
      </c>
      <c r="P272" s="53"/>
      <c r="Q272" s="5">
        <f>G272+N272</f>
        <v>0</v>
      </c>
      <c r="R272" s="5">
        <f>SUM(K272:L272)</f>
        <v>0</v>
      </c>
      <c r="T272" s="5">
        <f>SUM(C272:O272)</f>
        <v>28369.958575213866</v>
      </c>
      <c r="Y272" s="60"/>
    </row>
    <row r="273" spans="2:25" x14ac:dyDescent="0.3">
      <c r="B273" s="41"/>
      <c r="Y273" s="12"/>
    </row>
    <row r="274" spans="2:25" ht="28.8" x14ac:dyDescent="0.3">
      <c r="B274" s="43" t="s">
        <v>123</v>
      </c>
      <c r="C274" s="43" t="s">
        <v>0</v>
      </c>
      <c r="D274" s="43" t="s">
        <v>1</v>
      </c>
      <c r="E274" s="43" t="s">
        <v>28</v>
      </c>
      <c r="F274" s="2" t="s">
        <v>29</v>
      </c>
      <c r="G274" s="2" t="s">
        <v>6</v>
      </c>
      <c r="H274" s="43" t="s">
        <v>2</v>
      </c>
      <c r="I274" s="43" t="s">
        <v>3</v>
      </c>
      <c r="J274" s="43" t="s">
        <v>4</v>
      </c>
      <c r="K274" s="43" t="s">
        <v>9</v>
      </c>
      <c r="L274" s="43" t="s">
        <v>8</v>
      </c>
      <c r="M274" s="43" t="s">
        <v>25</v>
      </c>
      <c r="N274" s="43" t="s">
        <v>7</v>
      </c>
      <c r="O274" s="43" t="s">
        <v>89</v>
      </c>
      <c r="P274" s="25"/>
      <c r="Q274" s="43" t="s">
        <v>5</v>
      </c>
      <c r="R274" s="43" t="s">
        <v>91</v>
      </c>
      <c r="T274" s="43" t="s">
        <v>10</v>
      </c>
      <c r="Y274" s="12"/>
    </row>
    <row r="275" spans="2:25" x14ac:dyDescent="0.3">
      <c r="B275" s="38"/>
      <c r="C275" s="50">
        <f>C251+C257+C263+C269</f>
        <v>76549.142844070113</v>
      </c>
      <c r="D275" s="50">
        <f t="shared" ref="D275:O275" si="101">D251+D257+D263+D269</f>
        <v>1371.1807324929616</v>
      </c>
      <c r="E275" s="50">
        <f t="shared" si="101"/>
        <v>28.730916727553129</v>
      </c>
      <c r="F275" s="50">
        <f t="shared" si="101"/>
        <v>76.923919508130496</v>
      </c>
      <c r="G275" s="50">
        <f t="shared" si="101"/>
        <v>0</v>
      </c>
      <c r="H275" s="50">
        <f t="shared" si="101"/>
        <v>557.56664340319617</v>
      </c>
      <c r="I275" s="50">
        <f t="shared" si="101"/>
        <v>132.15198644394073</v>
      </c>
      <c r="J275" s="50">
        <f t="shared" si="101"/>
        <v>337.80303802891547</v>
      </c>
      <c r="K275" s="50">
        <f t="shared" si="101"/>
        <v>0</v>
      </c>
      <c r="L275" s="50">
        <f t="shared" si="101"/>
        <v>0</v>
      </c>
      <c r="M275" s="50">
        <f t="shared" si="101"/>
        <v>0</v>
      </c>
      <c r="N275" s="50">
        <f t="shared" si="101"/>
        <v>0</v>
      </c>
      <c r="O275" s="50">
        <f t="shared" si="101"/>
        <v>0</v>
      </c>
      <c r="P275" s="53"/>
      <c r="Q275" s="5">
        <f>G275+N275</f>
        <v>0</v>
      </c>
      <c r="R275" s="5">
        <f>SUM(K275:L275)</f>
        <v>0</v>
      </c>
      <c r="T275" s="5">
        <f>SUM(C275:O275)</f>
        <v>79053.500080674828</v>
      </c>
      <c r="Y275" s="12"/>
    </row>
    <row r="276" spans="2:25" x14ac:dyDescent="0.3">
      <c r="C276" s="50">
        <f t="shared" ref="C276:O278" si="102">C252+C258+C264+C270</f>
        <v>123672.96183981679</v>
      </c>
      <c r="D276" s="50">
        <f t="shared" si="102"/>
        <v>1359.8727659520628</v>
      </c>
      <c r="E276" s="50">
        <f t="shared" si="102"/>
        <v>3467.2209104863136</v>
      </c>
      <c r="F276" s="50">
        <f t="shared" si="102"/>
        <v>2143.0233011130886</v>
      </c>
      <c r="G276" s="50">
        <f t="shared" si="102"/>
        <v>0</v>
      </c>
      <c r="H276" s="50">
        <f t="shared" si="102"/>
        <v>11927.012772707631</v>
      </c>
      <c r="I276" s="50">
        <f t="shared" si="102"/>
        <v>2857.8228397998037</v>
      </c>
      <c r="J276" s="50">
        <f t="shared" si="102"/>
        <v>7558.2911208547876</v>
      </c>
      <c r="K276" s="50">
        <f t="shared" si="102"/>
        <v>0</v>
      </c>
      <c r="L276" s="50">
        <f t="shared" si="102"/>
        <v>0</v>
      </c>
      <c r="M276" s="50">
        <f t="shared" si="102"/>
        <v>0</v>
      </c>
      <c r="N276" s="50">
        <f t="shared" si="102"/>
        <v>0</v>
      </c>
      <c r="O276" s="50">
        <f t="shared" si="102"/>
        <v>0</v>
      </c>
      <c r="P276" s="53"/>
      <c r="Q276" s="5">
        <f>G276+N276</f>
        <v>0</v>
      </c>
      <c r="R276" s="5">
        <f>SUM(K276:L276)</f>
        <v>0</v>
      </c>
      <c r="T276" s="5">
        <f>SUM(C276:O276)</f>
        <v>152986.20555073049</v>
      </c>
      <c r="Y276" s="12"/>
    </row>
    <row r="277" spans="2:25" x14ac:dyDescent="0.3">
      <c r="C277" s="50">
        <f t="shared" si="102"/>
        <v>160268.56844184562</v>
      </c>
      <c r="D277" s="50">
        <f t="shared" si="102"/>
        <v>9540.5036252446916</v>
      </c>
      <c r="E277" s="50">
        <f t="shared" si="102"/>
        <v>10950.366975233719</v>
      </c>
      <c r="F277" s="50">
        <f t="shared" si="102"/>
        <v>6257.7589348901329</v>
      </c>
      <c r="G277" s="50">
        <f t="shared" si="102"/>
        <v>0</v>
      </c>
      <c r="H277" s="50">
        <f t="shared" si="102"/>
        <v>31144.092804490341</v>
      </c>
      <c r="I277" s="50">
        <f t="shared" si="102"/>
        <v>3709.4669641480191</v>
      </c>
      <c r="J277" s="50">
        <f t="shared" si="102"/>
        <v>19132.470245321718</v>
      </c>
      <c r="K277" s="50">
        <f t="shared" si="102"/>
        <v>0</v>
      </c>
      <c r="L277" s="50">
        <f t="shared" si="102"/>
        <v>0</v>
      </c>
      <c r="M277" s="50">
        <f t="shared" si="102"/>
        <v>0</v>
      </c>
      <c r="N277" s="50">
        <f t="shared" si="102"/>
        <v>0</v>
      </c>
      <c r="O277" s="50">
        <f t="shared" si="102"/>
        <v>0</v>
      </c>
      <c r="P277" s="53"/>
      <c r="Q277" s="5">
        <f>G277+N277</f>
        <v>0</v>
      </c>
      <c r="R277" s="5">
        <f>SUM(K277:L277)</f>
        <v>0</v>
      </c>
      <c r="T277" s="5">
        <f>SUM(C277:O277)</f>
        <v>241003.22799117421</v>
      </c>
      <c r="Y277" s="12"/>
    </row>
    <row r="278" spans="2:25" x14ac:dyDescent="0.3">
      <c r="C278" s="50">
        <f t="shared" si="102"/>
        <v>143522.42530060667</v>
      </c>
      <c r="D278" s="50">
        <f t="shared" si="102"/>
        <v>61046.886612793169</v>
      </c>
      <c r="E278" s="50">
        <f t="shared" si="102"/>
        <v>13903.075304814665</v>
      </c>
      <c r="F278" s="50">
        <f t="shared" si="102"/>
        <v>7337.9940395127633</v>
      </c>
      <c r="G278" s="50">
        <f t="shared" si="102"/>
        <v>0</v>
      </c>
      <c r="H278" s="50">
        <f t="shared" si="102"/>
        <v>44375.617458476285</v>
      </c>
      <c r="I278" s="50">
        <f t="shared" si="102"/>
        <v>0</v>
      </c>
      <c r="J278" s="50">
        <f t="shared" si="102"/>
        <v>25167.775526731519</v>
      </c>
      <c r="K278" s="50">
        <f t="shared" si="102"/>
        <v>0</v>
      </c>
      <c r="L278" s="50">
        <f t="shared" si="102"/>
        <v>0</v>
      </c>
      <c r="M278" s="50">
        <f t="shared" si="102"/>
        <v>0</v>
      </c>
      <c r="N278" s="50">
        <f t="shared" si="102"/>
        <v>0</v>
      </c>
      <c r="O278" s="50">
        <f t="shared" si="102"/>
        <v>0</v>
      </c>
      <c r="P278" s="53"/>
      <c r="Q278" s="5">
        <f>G278+N278</f>
        <v>0</v>
      </c>
      <c r="R278" s="5">
        <f>SUM(K278:L278)</f>
        <v>0</v>
      </c>
      <c r="T278" s="5">
        <f>SUM(C278:O278)</f>
        <v>295353.77424293506</v>
      </c>
      <c r="Y278" s="60"/>
    </row>
    <row r="281" spans="2:25" x14ac:dyDescent="0.3">
      <c r="Y281" s="12"/>
    </row>
    <row r="282" spans="2:25" x14ac:dyDescent="0.3">
      <c r="B282" s="33"/>
      <c r="Y282" s="12"/>
    </row>
    <row r="283" spans="2:25" x14ac:dyDescent="0.3">
      <c r="B283" s="33"/>
      <c r="Y283" s="12"/>
    </row>
    <row r="284" spans="2:25" x14ac:dyDescent="0.3">
      <c r="B284" s="33"/>
      <c r="Y284" s="12"/>
    </row>
    <row r="285" spans="2:25" x14ac:dyDescent="0.3">
      <c r="Y285" s="12"/>
    </row>
    <row r="286" spans="2:25" x14ac:dyDescent="0.3">
      <c r="Y286" s="12"/>
    </row>
    <row r="287" spans="2:25" x14ac:dyDescent="0.3">
      <c r="Y287" s="12"/>
    </row>
    <row r="288" spans="2:25" x14ac:dyDescent="0.3">
      <c r="Y288" s="12"/>
    </row>
    <row r="289" spans="25:25" x14ac:dyDescent="0.3">
      <c r="Y289" s="12"/>
    </row>
    <row r="290" spans="25:25" x14ac:dyDescent="0.3">
      <c r="Y290" s="60"/>
    </row>
    <row r="291" spans="25:25" x14ac:dyDescent="0.3">
      <c r="Y291" s="89"/>
    </row>
    <row r="292" spans="25:25" x14ac:dyDescent="0.3">
      <c r="Y292" s="89"/>
    </row>
    <row r="293" spans="25:25" x14ac:dyDescent="0.3">
      <c r="Y293" s="89"/>
    </row>
    <row r="294" spans="25:25" x14ac:dyDescent="0.3">
      <c r="Y294" s="89"/>
    </row>
    <row r="295" spans="25:25" x14ac:dyDescent="0.3">
      <c r="Y295" s="12"/>
    </row>
    <row r="296" spans="25:25" x14ac:dyDescent="0.3">
      <c r="Y296" s="12"/>
    </row>
    <row r="297" spans="25:25" x14ac:dyDescent="0.3">
      <c r="Y297" s="12"/>
    </row>
    <row r="298" spans="25:25" x14ac:dyDescent="0.3">
      <c r="Y298" s="12"/>
    </row>
    <row r="299" spans="25:25" x14ac:dyDescent="0.3">
      <c r="Y299" s="12"/>
    </row>
    <row r="300" spans="25:25" x14ac:dyDescent="0.3">
      <c r="Y300" s="12"/>
    </row>
    <row r="301" spans="25:25" x14ac:dyDescent="0.3">
      <c r="Y301" s="88"/>
    </row>
    <row r="302" spans="25:25" x14ac:dyDescent="0.3">
      <c r="Y302" s="88"/>
    </row>
    <row r="303" spans="25:25" x14ac:dyDescent="0.3">
      <c r="Y303" s="12"/>
    </row>
    <row r="304" spans="25:25" x14ac:dyDescent="0.3">
      <c r="Y304" s="12"/>
    </row>
    <row r="305" spans="25:25" x14ac:dyDescent="0.3">
      <c r="Y305" s="12"/>
    </row>
    <row r="306" spans="25:25" x14ac:dyDescent="0.3">
      <c r="Y306" s="12"/>
    </row>
    <row r="307" spans="25:25" x14ac:dyDescent="0.3">
      <c r="Y307" s="12"/>
    </row>
    <row r="308" spans="25:25" x14ac:dyDescent="0.3">
      <c r="Y308" s="12"/>
    </row>
    <row r="309" spans="25:25" x14ac:dyDescent="0.3">
      <c r="Y309" s="12"/>
    </row>
    <row r="310" spans="25:25" x14ac:dyDescent="0.3">
      <c r="Y310" s="12"/>
    </row>
    <row r="311" spans="25:25" x14ac:dyDescent="0.3">
      <c r="Y311" s="12"/>
    </row>
    <row r="312" spans="25:25" x14ac:dyDescent="0.3">
      <c r="Y312" s="12"/>
    </row>
    <row r="313" spans="25:25" x14ac:dyDescent="0.3">
      <c r="Y313" s="12"/>
    </row>
    <row r="314" spans="25:25" x14ac:dyDescent="0.3">
      <c r="Y314" s="12"/>
    </row>
    <row r="315" spans="25:25" x14ac:dyDescent="0.3">
      <c r="Y315" s="12"/>
    </row>
    <row r="316" spans="25:25" x14ac:dyDescent="0.3">
      <c r="Y316" s="12"/>
    </row>
    <row r="317" spans="25:25" x14ac:dyDescent="0.3">
      <c r="Y317" s="12"/>
    </row>
    <row r="318" spans="25:25" x14ac:dyDescent="0.3">
      <c r="Y318" s="12"/>
    </row>
    <row r="319" spans="25:25" x14ac:dyDescent="0.3">
      <c r="Y319" s="12"/>
    </row>
    <row r="320" spans="25:25" x14ac:dyDescent="0.3">
      <c r="Y320" s="12"/>
    </row>
    <row r="321" spans="25:25" x14ac:dyDescent="0.3">
      <c r="Y321" s="12"/>
    </row>
    <row r="322" spans="25:25" x14ac:dyDescent="0.3">
      <c r="Y322" s="12"/>
    </row>
    <row r="323" spans="25:25" x14ac:dyDescent="0.3">
      <c r="Y323" s="88"/>
    </row>
    <row r="324" spans="25:25" x14ac:dyDescent="0.3">
      <c r="Y324" s="88"/>
    </row>
    <row r="325" spans="25:25" x14ac:dyDescent="0.3">
      <c r="Y325" s="88"/>
    </row>
    <row r="326" spans="25:25" x14ac:dyDescent="0.3">
      <c r="Y326" s="12"/>
    </row>
    <row r="327" spans="25:25" x14ac:dyDescent="0.3">
      <c r="Y327" s="12"/>
    </row>
    <row r="328" spans="25:25" x14ac:dyDescent="0.3">
      <c r="Y328" s="12"/>
    </row>
    <row r="329" spans="25:25" x14ac:dyDescent="0.3">
      <c r="Y329" s="12"/>
    </row>
    <row r="330" spans="25:25" x14ac:dyDescent="0.3">
      <c r="Y330" s="12"/>
    </row>
    <row r="331" spans="25:25" x14ac:dyDescent="0.3">
      <c r="Y331" s="12"/>
    </row>
    <row r="332" spans="25:25" x14ac:dyDescent="0.3">
      <c r="Y332" s="12"/>
    </row>
    <row r="333" spans="25:25" x14ac:dyDescent="0.3">
      <c r="Y333" s="12"/>
    </row>
    <row r="334" spans="25:25" x14ac:dyDescent="0.3">
      <c r="Y334" s="12"/>
    </row>
    <row r="335" spans="25:25" x14ac:dyDescent="0.3">
      <c r="Y335" s="12"/>
    </row>
    <row r="336" spans="25:25" x14ac:dyDescent="0.3">
      <c r="Y336" s="12"/>
    </row>
    <row r="337" spans="25:25" x14ac:dyDescent="0.3">
      <c r="Y337" s="12"/>
    </row>
    <row r="338" spans="25:25" x14ac:dyDescent="0.3">
      <c r="Y338" s="60"/>
    </row>
    <row r="339" spans="25:25" x14ac:dyDescent="0.3">
      <c r="Y339" s="56"/>
    </row>
    <row r="340" spans="25:25" x14ac:dyDescent="0.3">
      <c r="Y340" s="56"/>
    </row>
    <row r="341" spans="25:25" x14ac:dyDescent="0.3">
      <c r="Y341" s="56"/>
    </row>
    <row r="342" spans="25:25" x14ac:dyDescent="0.3">
      <c r="Y342" s="56"/>
    </row>
    <row r="343" spans="25:25" x14ac:dyDescent="0.3">
      <c r="Y343" s="12"/>
    </row>
    <row r="344" spans="25:25" x14ac:dyDescent="0.3">
      <c r="Y344" s="12"/>
    </row>
    <row r="345" spans="25:25" x14ac:dyDescent="0.3">
      <c r="Y345" s="12"/>
    </row>
    <row r="346" spans="25:25" x14ac:dyDescent="0.3">
      <c r="Y346" s="12"/>
    </row>
    <row r="347" spans="25:25" x14ac:dyDescent="0.3">
      <c r="Y347" s="12"/>
    </row>
    <row r="348" spans="25:25" x14ac:dyDescent="0.3">
      <c r="Y348" s="12"/>
    </row>
    <row r="349" spans="25:25" x14ac:dyDescent="0.3">
      <c r="Y349" s="88"/>
    </row>
    <row r="350" spans="25:25" x14ac:dyDescent="0.3">
      <c r="Y350" s="88"/>
    </row>
    <row r="351" spans="25:25" x14ac:dyDescent="0.3">
      <c r="Y351" s="88"/>
    </row>
    <row r="352" spans="25:25" x14ac:dyDescent="0.3">
      <c r="Y352" s="88"/>
    </row>
    <row r="353" spans="25:25" x14ac:dyDescent="0.3">
      <c r="Y353" s="88"/>
    </row>
    <row r="354" spans="25:25" x14ac:dyDescent="0.3">
      <c r="Y354" s="12"/>
    </row>
    <row r="355" spans="25:25" x14ac:dyDescent="0.3">
      <c r="Y355" s="12"/>
    </row>
    <row r="356" spans="25:25" x14ac:dyDescent="0.3">
      <c r="Y356" s="12"/>
    </row>
    <row r="357" spans="25:25" x14ac:dyDescent="0.3">
      <c r="Y357" s="12"/>
    </row>
    <row r="358" spans="25:25" x14ac:dyDescent="0.3">
      <c r="Y358" s="12"/>
    </row>
    <row r="359" spans="25:25" x14ac:dyDescent="0.3">
      <c r="Y359" s="12"/>
    </row>
    <row r="360" spans="25:25" x14ac:dyDescent="0.3">
      <c r="Y360" s="12"/>
    </row>
    <row r="361" spans="25:25" x14ac:dyDescent="0.3">
      <c r="Y361" s="12"/>
    </row>
    <row r="362" spans="25:25" x14ac:dyDescent="0.3">
      <c r="Y362" s="12"/>
    </row>
    <row r="363" spans="25:25" x14ac:dyDescent="0.3">
      <c r="Y363" s="12"/>
    </row>
    <row r="364" spans="25:25" x14ac:dyDescent="0.3">
      <c r="Y364" s="12"/>
    </row>
    <row r="365" spans="25:25" x14ac:dyDescent="0.3">
      <c r="Y365" s="88"/>
    </row>
    <row r="366" spans="25:25" x14ac:dyDescent="0.3">
      <c r="Y366" s="88"/>
    </row>
    <row r="367" spans="25:25" x14ac:dyDescent="0.3">
      <c r="Y367" s="88"/>
    </row>
    <row r="368" spans="25:25" x14ac:dyDescent="0.3">
      <c r="Y368" s="88"/>
    </row>
    <row r="369" spans="25:25" x14ac:dyDescent="0.3">
      <c r="Y369" s="88"/>
    </row>
    <row r="370" spans="25:25" x14ac:dyDescent="0.3">
      <c r="Y370" s="88"/>
    </row>
    <row r="371" spans="25:25" x14ac:dyDescent="0.3">
      <c r="Y371" s="88"/>
    </row>
    <row r="372" spans="25:25" x14ac:dyDescent="0.3">
      <c r="Y372" s="88"/>
    </row>
    <row r="373" spans="25:25" x14ac:dyDescent="0.3">
      <c r="Y373" s="12"/>
    </row>
    <row r="374" spans="25:25" x14ac:dyDescent="0.3">
      <c r="Y374" s="12"/>
    </row>
    <row r="375" spans="25:25" x14ac:dyDescent="0.3">
      <c r="Y375" s="12"/>
    </row>
    <row r="376" spans="25:25" x14ac:dyDescent="0.3">
      <c r="Y376" s="12"/>
    </row>
    <row r="377" spans="25:25" x14ac:dyDescent="0.3">
      <c r="Y377" s="12"/>
    </row>
    <row r="378" spans="25:25" x14ac:dyDescent="0.3">
      <c r="Y378" s="12"/>
    </row>
    <row r="379" spans="25:25" x14ac:dyDescent="0.3">
      <c r="Y379" s="60"/>
    </row>
    <row r="380" spans="25:25" x14ac:dyDescent="0.3">
      <c r="Y380" s="56"/>
    </row>
    <row r="381" spans="25:25" x14ac:dyDescent="0.3">
      <c r="Y381" s="56"/>
    </row>
    <row r="382" spans="25:25" x14ac:dyDescent="0.3">
      <c r="Y382" s="56"/>
    </row>
    <row r="383" spans="25:25" x14ac:dyDescent="0.3">
      <c r="Y383" s="56"/>
    </row>
    <row r="384" spans="25:25" x14ac:dyDescent="0.3">
      <c r="Y384" s="12"/>
    </row>
    <row r="385" spans="25:25" x14ac:dyDescent="0.3">
      <c r="Y385" s="12"/>
    </row>
    <row r="386" spans="25:25" x14ac:dyDescent="0.3">
      <c r="Y386" s="12"/>
    </row>
    <row r="387" spans="25:25" x14ac:dyDescent="0.3">
      <c r="Y387" s="12"/>
    </row>
    <row r="388" spans="25:25" x14ac:dyDescent="0.3">
      <c r="Y388" s="12"/>
    </row>
    <row r="389" spans="25:25" x14ac:dyDescent="0.3">
      <c r="Y389" s="12"/>
    </row>
    <row r="390" spans="25:25" x14ac:dyDescent="0.3">
      <c r="Y390" s="12"/>
    </row>
    <row r="391" spans="25:25" x14ac:dyDescent="0.3">
      <c r="Y391" s="12"/>
    </row>
    <row r="392" spans="25:25" x14ac:dyDescent="0.3">
      <c r="Y392" s="12"/>
    </row>
    <row r="393" spans="25:25" x14ac:dyDescent="0.3">
      <c r="Y393" s="12"/>
    </row>
    <row r="394" spans="25:25" x14ac:dyDescent="0.3">
      <c r="Y394" s="12"/>
    </row>
    <row r="395" spans="25:25" x14ac:dyDescent="0.3">
      <c r="Y395" s="12"/>
    </row>
    <row r="396" spans="25:25" x14ac:dyDescent="0.3">
      <c r="Y396" s="12"/>
    </row>
    <row r="397" spans="25:25" x14ac:dyDescent="0.3">
      <c r="Y397" s="12"/>
    </row>
    <row r="398" spans="25:25" x14ac:dyDescent="0.3">
      <c r="Y398" s="12"/>
    </row>
    <row r="399" spans="25:25" x14ac:dyDescent="0.3">
      <c r="Y399" s="12"/>
    </row>
    <row r="400" spans="25:25" x14ac:dyDescent="0.3">
      <c r="Y400" s="12"/>
    </row>
    <row r="401" spans="25:25" x14ac:dyDescent="0.3">
      <c r="Y401" s="12"/>
    </row>
    <row r="402" spans="25:25" x14ac:dyDescent="0.3">
      <c r="Y402" s="56"/>
    </row>
    <row r="403" spans="25:25" x14ac:dyDescent="0.3">
      <c r="Y403" s="12"/>
    </row>
    <row r="404" spans="25:25" x14ac:dyDescent="0.3">
      <c r="Y404" s="12"/>
    </row>
    <row r="405" spans="25:25" x14ac:dyDescent="0.3">
      <c r="Y405" s="12"/>
    </row>
    <row r="406" spans="25:25" x14ac:dyDescent="0.3">
      <c r="Y406" s="12"/>
    </row>
    <row r="407" spans="25:25" x14ac:dyDescent="0.3">
      <c r="Y407" s="12"/>
    </row>
    <row r="408" spans="25:25" x14ac:dyDescent="0.3">
      <c r="Y408" s="12"/>
    </row>
    <row r="409" spans="25:25" x14ac:dyDescent="0.3">
      <c r="Y409" s="12"/>
    </row>
    <row r="410" spans="25:25" x14ac:dyDescent="0.3">
      <c r="Y410" s="12"/>
    </row>
    <row r="411" spans="25:25" x14ac:dyDescent="0.3">
      <c r="Y411" s="12"/>
    </row>
    <row r="412" spans="25:25" x14ac:dyDescent="0.3">
      <c r="Y412" s="12"/>
    </row>
    <row r="413" spans="25:25" x14ac:dyDescent="0.3">
      <c r="Y413" s="12"/>
    </row>
    <row r="414" spans="25:25" x14ac:dyDescent="0.3">
      <c r="Y414" s="12"/>
    </row>
    <row r="415" spans="25:25" x14ac:dyDescent="0.3">
      <c r="Y415" s="12"/>
    </row>
    <row r="416" spans="25:25" x14ac:dyDescent="0.3">
      <c r="Y416" s="12"/>
    </row>
    <row r="417" spans="25:25" x14ac:dyDescent="0.3">
      <c r="Y417" s="12"/>
    </row>
    <row r="418" spans="25:25" x14ac:dyDescent="0.3">
      <c r="Y418" s="12"/>
    </row>
    <row r="419" spans="25:25" x14ac:dyDescent="0.3">
      <c r="Y419" s="12"/>
    </row>
    <row r="420" spans="25:25" x14ac:dyDescent="0.3">
      <c r="Y420" s="12"/>
    </row>
    <row r="421" spans="25:25" x14ac:dyDescent="0.3">
      <c r="Y421" s="12"/>
    </row>
    <row r="422" spans="25:25" x14ac:dyDescent="0.3">
      <c r="Y422" s="12"/>
    </row>
    <row r="423" spans="25:25" x14ac:dyDescent="0.3">
      <c r="Y423" s="12"/>
    </row>
    <row r="424" spans="25:25" x14ac:dyDescent="0.3">
      <c r="Y424" s="12"/>
    </row>
    <row r="425" spans="25:25" x14ac:dyDescent="0.3">
      <c r="Y425" s="12"/>
    </row>
    <row r="426" spans="25:25" x14ac:dyDescent="0.3">
      <c r="Y426" s="12"/>
    </row>
    <row r="427" spans="25:25" x14ac:dyDescent="0.3">
      <c r="Y427" s="12"/>
    </row>
    <row r="428" spans="25:25" x14ac:dyDescent="0.3">
      <c r="Y428" s="12"/>
    </row>
    <row r="429" spans="25:25" x14ac:dyDescent="0.3">
      <c r="Y429" s="12"/>
    </row>
    <row r="430" spans="25:25" x14ac:dyDescent="0.3">
      <c r="Y430" s="12"/>
    </row>
    <row r="431" spans="25:25" x14ac:dyDescent="0.3">
      <c r="Y431" s="12"/>
    </row>
    <row r="432" spans="25:25" x14ac:dyDescent="0.3">
      <c r="Y432" s="12"/>
    </row>
    <row r="433" spans="25:25" x14ac:dyDescent="0.3">
      <c r="Y433" s="1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446"/>
  <sheetViews>
    <sheetView topLeftCell="A226" zoomScale="85" zoomScaleNormal="85" workbookViewId="0">
      <selection activeCell="T246" sqref="T246"/>
    </sheetView>
  </sheetViews>
  <sheetFormatPr defaultColWidth="9.109375" defaultRowHeight="14.4" x14ac:dyDescent="0.3"/>
  <cols>
    <col min="1" max="1" width="9.109375" style="3"/>
    <col min="2" max="2" width="43.109375" style="3" customWidth="1"/>
    <col min="3" max="3" width="12.33203125" style="3" bestFit="1" customWidth="1"/>
    <col min="4" max="4" width="12.33203125" style="3" customWidth="1"/>
    <col min="5" max="5" width="9.33203125" style="3" bestFit="1" customWidth="1"/>
    <col min="6" max="6" width="11" style="3" bestFit="1" customWidth="1"/>
    <col min="7" max="7" width="10" style="3" bestFit="1" customWidth="1"/>
    <col min="8" max="8" width="9.33203125" style="3" bestFit="1" customWidth="1"/>
    <col min="9" max="10" width="11" style="3" bestFit="1" customWidth="1"/>
    <col min="11" max="11" width="9.33203125" style="3" bestFit="1" customWidth="1"/>
    <col min="12" max="12" width="10" style="3" bestFit="1" customWidth="1"/>
    <col min="13" max="13" width="11" style="3" bestFit="1" customWidth="1"/>
    <col min="14" max="14" width="9.33203125" style="3" bestFit="1" customWidth="1"/>
    <col min="15" max="15" width="9.33203125" style="3" customWidth="1"/>
    <col min="16" max="16" width="1.5546875" style="11" customWidth="1"/>
    <col min="17" max="19" width="9.33203125" style="3" bestFit="1" customWidth="1"/>
    <col min="20" max="20" width="10" style="3" bestFit="1" customWidth="1"/>
    <col min="21" max="21" width="10.88671875" style="3" bestFit="1" customWidth="1"/>
    <col min="22" max="22" width="9.5546875" style="3" bestFit="1" customWidth="1"/>
    <col min="23" max="23" width="10.44140625" style="3" customWidth="1"/>
    <col min="24" max="24" width="12.33203125" style="3" bestFit="1" customWidth="1"/>
    <col min="25" max="25" width="9.88671875" style="3" bestFit="1" customWidth="1"/>
    <col min="26" max="27" width="11.33203125" style="3" bestFit="1" customWidth="1"/>
    <col min="28" max="16384" width="9.109375" style="3"/>
  </cols>
  <sheetData>
    <row r="2" spans="2:20" s="9" customFormat="1" ht="21" x14ac:dyDescent="0.35">
      <c r="B2" s="10" t="s">
        <v>11</v>
      </c>
    </row>
    <row r="3" spans="2:20" ht="30" x14ac:dyDescent="0.25">
      <c r="B3" s="43" t="s">
        <v>31</v>
      </c>
      <c r="C3" s="43" t="s">
        <v>0</v>
      </c>
      <c r="D3" s="43" t="s">
        <v>1</v>
      </c>
      <c r="E3" s="43" t="s">
        <v>28</v>
      </c>
      <c r="F3" s="2" t="s">
        <v>29</v>
      </c>
      <c r="G3" s="2" t="s">
        <v>6</v>
      </c>
      <c r="H3" s="43" t="s">
        <v>2</v>
      </c>
      <c r="I3" s="43" t="s">
        <v>3</v>
      </c>
      <c r="J3" s="43" t="s">
        <v>4</v>
      </c>
      <c r="K3" s="43" t="s">
        <v>9</v>
      </c>
      <c r="L3" s="43" t="s">
        <v>8</v>
      </c>
      <c r="M3" s="43" t="s">
        <v>25</v>
      </c>
      <c r="N3" s="43" t="s">
        <v>7</v>
      </c>
      <c r="O3" s="43" t="s">
        <v>89</v>
      </c>
      <c r="P3" s="25"/>
      <c r="Q3" s="43" t="s">
        <v>5</v>
      </c>
      <c r="R3" s="43" t="s">
        <v>91</v>
      </c>
      <c r="T3" s="43" t="s">
        <v>10</v>
      </c>
    </row>
    <row r="4" spans="2:20" ht="15" x14ac:dyDescent="0.25">
      <c r="B4" s="3">
        <v>2016</v>
      </c>
      <c r="C4" s="74">
        <f>'HC-BC'!C4</f>
        <v>36060</v>
      </c>
      <c r="D4" s="74">
        <f>'HC-BC'!D4</f>
        <v>1860</v>
      </c>
      <c r="E4" s="74">
        <f>'HC-BC'!E4</f>
        <v>424.6</v>
      </c>
      <c r="F4" s="74">
        <f>'HC-BC'!F4</f>
        <v>3419</v>
      </c>
      <c r="G4" s="74">
        <f>'HC-BC'!G4</f>
        <v>2179</v>
      </c>
      <c r="H4" s="74">
        <f>'HC-BC'!H4</f>
        <v>1306</v>
      </c>
      <c r="I4" s="74">
        <f>'HC-BC'!I4</f>
        <v>200</v>
      </c>
      <c r="J4" s="74">
        <f>'HC-BC'!J4</f>
        <v>1479</v>
      </c>
      <c r="K4" s="74">
        <f>'HC-BC'!K4</f>
        <v>0</v>
      </c>
      <c r="L4" s="74">
        <f>'HC-BC'!L4</f>
        <v>264</v>
      </c>
      <c r="M4" s="74">
        <f>'HC-BC'!M4</f>
        <v>0</v>
      </c>
      <c r="N4" s="74">
        <f>'HC-BC'!N4</f>
        <v>1580</v>
      </c>
      <c r="O4" s="74">
        <f>'HC-BC'!P4</f>
        <v>0</v>
      </c>
      <c r="P4" s="89"/>
      <c r="Q4" s="39">
        <f>G4+N4</f>
        <v>3759</v>
      </c>
      <c r="R4" s="5">
        <f>SUM(K4:L4)</f>
        <v>264</v>
      </c>
      <c r="T4" s="5">
        <f>SUM(C4:O4)</f>
        <v>48771.6</v>
      </c>
    </row>
    <row r="5" spans="2:20" ht="15" x14ac:dyDescent="0.25">
      <c r="B5" s="3">
        <v>2030</v>
      </c>
      <c r="C5" s="74">
        <f>'HC-BC'!C5</f>
        <v>23080</v>
      </c>
      <c r="D5" s="74">
        <f>'HC-BC'!D5</f>
        <v>1860</v>
      </c>
      <c r="E5" s="74">
        <f>'HC-BC'!E5</f>
        <v>424.6</v>
      </c>
      <c r="F5" s="74">
        <f>'HC-BC'!F5</f>
        <v>3077</v>
      </c>
      <c r="G5" s="74">
        <f>'HC-BC'!G5</f>
        <v>2179</v>
      </c>
      <c r="H5" s="74">
        <f>'HC-BC'!H5</f>
        <v>1306</v>
      </c>
      <c r="I5" s="74">
        <f>'HC-BC'!I5</f>
        <v>200</v>
      </c>
      <c r="J5" s="74">
        <f>'HC-BC'!J5</f>
        <v>1479</v>
      </c>
      <c r="K5" s="74">
        <f>'HC-BC'!K5</f>
        <v>0</v>
      </c>
      <c r="L5" s="74">
        <f>'HC-BC'!L5</f>
        <v>264</v>
      </c>
      <c r="M5" s="74">
        <f>'HC-BC'!M5</f>
        <v>0</v>
      </c>
      <c r="N5" s="74">
        <f>'HC-BC'!N5</f>
        <v>1580</v>
      </c>
      <c r="O5" s="74">
        <f>'HC-BC'!P5</f>
        <v>0</v>
      </c>
      <c r="P5" s="89"/>
      <c r="Q5" s="39">
        <f>G5+N5</f>
        <v>3759</v>
      </c>
      <c r="R5" s="5">
        <f>SUM(K5:L5)</f>
        <v>264</v>
      </c>
      <c r="T5" s="5">
        <f t="shared" ref="T5:T7" si="0">SUM(C5:O5)</f>
        <v>35449.599999999999</v>
      </c>
    </row>
    <row r="6" spans="2:20" ht="15" x14ac:dyDescent="0.25">
      <c r="B6" s="3">
        <v>2040</v>
      </c>
      <c r="C6" s="74">
        <f>'HC-BC'!C6</f>
        <v>7660</v>
      </c>
      <c r="D6" s="74">
        <f>'HC-BC'!D6</f>
        <v>1860</v>
      </c>
      <c r="E6" s="74">
        <f>'HC-BC'!E6</f>
        <v>424.6</v>
      </c>
      <c r="F6" s="74">
        <f>'HC-BC'!F6</f>
        <v>1005</v>
      </c>
      <c r="G6" s="74">
        <f>'HC-BC'!G6</f>
        <v>2179</v>
      </c>
      <c r="H6" s="74">
        <f>'HC-BC'!H6</f>
        <v>0</v>
      </c>
      <c r="I6" s="74">
        <f>'HC-BC'!I6</f>
        <v>200</v>
      </c>
      <c r="J6" s="74">
        <f>'HC-BC'!J6</f>
        <v>435</v>
      </c>
      <c r="K6" s="74">
        <f>'HC-BC'!K6</f>
        <v>0</v>
      </c>
      <c r="L6" s="74">
        <f>'HC-BC'!L6</f>
        <v>264</v>
      </c>
      <c r="M6" s="74">
        <f>'HC-BC'!M6</f>
        <v>0</v>
      </c>
      <c r="N6" s="74">
        <f>'HC-BC'!N6</f>
        <v>1580</v>
      </c>
      <c r="O6" s="74">
        <f>'HC-BC'!P6</f>
        <v>0</v>
      </c>
      <c r="P6" s="89"/>
      <c r="Q6" s="39">
        <f>G6+N6</f>
        <v>3759</v>
      </c>
      <c r="R6" s="5">
        <f>SUM(K6:L6)</f>
        <v>264</v>
      </c>
      <c r="T6" s="5">
        <f t="shared" si="0"/>
        <v>15607.6</v>
      </c>
    </row>
    <row r="7" spans="2:20" ht="15" x14ac:dyDescent="0.25">
      <c r="B7" s="3">
        <v>2050</v>
      </c>
      <c r="C7" s="74">
        <f>'HC-BC'!C7</f>
        <v>670</v>
      </c>
      <c r="D7" s="74">
        <f>'HC-BC'!D7</f>
        <v>0</v>
      </c>
      <c r="E7" s="74">
        <f>'HC-BC'!E7</f>
        <v>424.6</v>
      </c>
      <c r="F7" s="74">
        <f>'HC-BC'!F7</f>
        <v>0</v>
      </c>
      <c r="G7" s="74">
        <f>'HC-BC'!G7</f>
        <v>2179</v>
      </c>
      <c r="H7" s="74">
        <f>'HC-BC'!H7</f>
        <v>0</v>
      </c>
      <c r="I7" s="74">
        <f>'HC-BC'!I7</f>
        <v>0</v>
      </c>
      <c r="J7" s="74">
        <f>'HC-BC'!J7</f>
        <v>0</v>
      </c>
      <c r="K7" s="74">
        <f>'HC-BC'!K7</f>
        <v>0</v>
      </c>
      <c r="L7" s="74">
        <f>'HC-BC'!L7</f>
        <v>264</v>
      </c>
      <c r="M7" s="74">
        <f>'HC-BC'!M7</f>
        <v>0</v>
      </c>
      <c r="N7" s="74">
        <f>'HC-BC'!N7</f>
        <v>1580</v>
      </c>
      <c r="O7" s="74">
        <f>'HC-BC'!P7</f>
        <v>0</v>
      </c>
      <c r="P7" s="89"/>
      <c r="Q7" s="39">
        <f>G7+N7</f>
        <v>3759</v>
      </c>
      <c r="R7" s="5">
        <f>SUM(K7:L7)</f>
        <v>264</v>
      </c>
      <c r="T7" s="5">
        <f t="shared" si="0"/>
        <v>5117.6000000000004</v>
      </c>
    </row>
    <row r="9" spans="2:20" ht="30" x14ac:dyDescent="0.25">
      <c r="B9" s="43" t="s">
        <v>30</v>
      </c>
      <c r="C9" s="43" t="s">
        <v>0</v>
      </c>
      <c r="D9" s="43" t="s">
        <v>1</v>
      </c>
      <c r="E9" s="43" t="s">
        <v>28</v>
      </c>
      <c r="F9" s="2" t="s">
        <v>29</v>
      </c>
      <c r="G9" s="2" t="s">
        <v>6</v>
      </c>
      <c r="H9" s="43" t="s">
        <v>2</v>
      </c>
      <c r="I9" s="43" t="s">
        <v>3</v>
      </c>
      <c r="J9" s="43" t="s">
        <v>4</v>
      </c>
      <c r="K9" s="43" t="s">
        <v>9</v>
      </c>
      <c r="L9" s="43" t="s">
        <v>8</v>
      </c>
      <c r="M9" s="43" t="s">
        <v>25</v>
      </c>
      <c r="N9" s="43" t="s">
        <v>7</v>
      </c>
      <c r="O9" s="43" t="s">
        <v>89</v>
      </c>
      <c r="P9" s="25"/>
      <c r="Q9" s="43" t="s">
        <v>5</v>
      </c>
      <c r="R9" s="43" t="s">
        <v>91</v>
      </c>
      <c r="T9" s="43" t="s">
        <v>10</v>
      </c>
    </row>
    <row r="10" spans="2:20" ht="15" x14ac:dyDescent="0.25">
      <c r="B10" s="3">
        <v>2016</v>
      </c>
      <c r="C10" s="74">
        <f>'HC-BC'!C10</f>
        <v>722</v>
      </c>
      <c r="D10" s="74">
        <f>'HC-BC'!D10</f>
        <v>0</v>
      </c>
      <c r="E10" s="74">
        <f>'HC-BC'!E10</f>
        <v>0</v>
      </c>
      <c r="F10" s="74">
        <f>'HC-BC'!F10</f>
        <v>0</v>
      </c>
      <c r="G10" s="74">
        <f>'HC-BC'!G10</f>
        <v>0</v>
      </c>
      <c r="H10" s="74">
        <f>'HC-BC'!H10</f>
        <v>154</v>
      </c>
      <c r="I10" s="74">
        <f>'HC-BC'!I10</f>
        <v>0</v>
      </c>
      <c r="J10" s="74">
        <f>'HC-BC'!J10</f>
        <v>0</v>
      </c>
      <c r="K10" s="74">
        <f>'HC-BC'!K10</f>
        <v>0</v>
      </c>
      <c r="L10" s="74">
        <f>'HC-BC'!L10</f>
        <v>0</v>
      </c>
      <c r="M10" s="74">
        <f>'HC-BC'!M10</f>
        <v>0</v>
      </c>
      <c r="N10" s="74">
        <f>'HC-BC'!N10</f>
        <v>0</v>
      </c>
      <c r="O10" s="74">
        <f>'HC-BC'!P10</f>
        <v>0</v>
      </c>
      <c r="P10" s="89"/>
      <c r="Q10" s="39">
        <f>G10+N10</f>
        <v>0</v>
      </c>
      <c r="R10" s="5">
        <f>SUM(K10:L10)</f>
        <v>0</v>
      </c>
      <c r="T10" s="5">
        <f>SUM(C10:O10)</f>
        <v>876</v>
      </c>
    </row>
    <row r="11" spans="2:20" ht="15" x14ac:dyDescent="0.25">
      <c r="B11" s="3">
        <v>2030</v>
      </c>
      <c r="C11" s="74">
        <f>'HC-BC'!C11</f>
        <v>9536</v>
      </c>
      <c r="D11" s="74">
        <f>'HC-BC'!D11</f>
        <v>0</v>
      </c>
      <c r="E11" s="74">
        <f>'HC-BC'!E11</f>
        <v>0</v>
      </c>
      <c r="F11" s="74">
        <f>'HC-BC'!F11</f>
        <v>0</v>
      </c>
      <c r="G11" s="74">
        <f>'HC-BC'!G11</f>
        <v>45</v>
      </c>
      <c r="H11" s="74">
        <f>'HC-BC'!H11</f>
        <v>2800</v>
      </c>
      <c r="I11" s="74">
        <f>'HC-BC'!I11</f>
        <v>850</v>
      </c>
      <c r="J11" s="74">
        <f>'HC-BC'!J11</f>
        <v>1332</v>
      </c>
      <c r="K11" s="74">
        <f>'HC-BC'!K11</f>
        <v>53</v>
      </c>
      <c r="L11" s="74">
        <f>'HC-BC'!L11</f>
        <v>153</v>
      </c>
      <c r="M11" s="74">
        <f>'HC-BC'!M11</f>
        <v>0</v>
      </c>
      <c r="N11" s="74">
        <f>'HC-BC'!N11</f>
        <v>1332</v>
      </c>
      <c r="O11" s="74">
        <f>'HC-BC'!P11</f>
        <v>0</v>
      </c>
      <c r="P11" s="89"/>
      <c r="Q11" s="39">
        <f>G11+N11</f>
        <v>1377</v>
      </c>
      <c r="R11" s="5">
        <f>SUM(K11:L11)</f>
        <v>206</v>
      </c>
      <c r="T11" s="5">
        <f t="shared" ref="T11:T13" si="1">SUM(C11:O11)</f>
        <v>16101</v>
      </c>
    </row>
    <row r="12" spans="2:20" ht="15" x14ac:dyDescent="0.25">
      <c r="B12" s="3">
        <v>2040</v>
      </c>
      <c r="C12" s="74">
        <f>'HC-BC'!C12</f>
        <v>9536</v>
      </c>
      <c r="D12" s="74">
        <f>'HC-BC'!D12</f>
        <v>0</v>
      </c>
      <c r="E12" s="74">
        <f>'HC-BC'!E12</f>
        <v>0</v>
      </c>
      <c r="F12" s="74">
        <f>'HC-BC'!F12</f>
        <v>0</v>
      </c>
      <c r="G12" s="74">
        <f>'HC-BC'!G12</f>
        <v>45</v>
      </c>
      <c r="H12" s="74">
        <f>'HC-BC'!H12</f>
        <v>0</v>
      </c>
      <c r="I12" s="74">
        <f>'HC-BC'!I12</f>
        <v>850</v>
      </c>
      <c r="J12" s="74">
        <f>'HC-BC'!J12</f>
        <v>1332</v>
      </c>
      <c r="K12" s="74">
        <f>'HC-BC'!K12</f>
        <v>53</v>
      </c>
      <c r="L12" s="74">
        <f>'HC-BC'!L12</f>
        <v>153</v>
      </c>
      <c r="M12" s="74">
        <f>'HC-BC'!M12</f>
        <v>0</v>
      </c>
      <c r="N12" s="74">
        <f>'HC-BC'!N12</f>
        <v>1332</v>
      </c>
      <c r="O12" s="74">
        <f>'HC-BC'!P12</f>
        <v>0</v>
      </c>
      <c r="P12" s="89"/>
      <c r="Q12" s="39">
        <f>G12+N12</f>
        <v>1377</v>
      </c>
      <c r="R12" s="5">
        <f>SUM(K12:L12)</f>
        <v>206</v>
      </c>
      <c r="T12" s="5">
        <f t="shared" si="1"/>
        <v>13301</v>
      </c>
    </row>
    <row r="13" spans="2:20" ht="15" x14ac:dyDescent="0.25">
      <c r="B13" s="3">
        <v>2050</v>
      </c>
      <c r="C13" s="74">
        <f>'HC-BC'!C13</f>
        <v>9536</v>
      </c>
      <c r="D13" s="74">
        <f>'HC-BC'!D13</f>
        <v>0</v>
      </c>
      <c r="E13" s="74">
        <f>'HC-BC'!E13</f>
        <v>0</v>
      </c>
      <c r="F13" s="74">
        <f>'HC-BC'!F13</f>
        <v>0</v>
      </c>
      <c r="G13" s="74">
        <f>'HC-BC'!G13</f>
        <v>45</v>
      </c>
      <c r="H13" s="74">
        <f>'HC-BC'!H13</f>
        <v>0</v>
      </c>
      <c r="I13" s="74">
        <f>'HC-BC'!I13</f>
        <v>0</v>
      </c>
      <c r="J13" s="74">
        <f>'HC-BC'!J13</f>
        <v>0</v>
      </c>
      <c r="K13" s="74">
        <f>'HC-BC'!K13</f>
        <v>0</v>
      </c>
      <c r="L13" s="74">
        <f>'HC-BC'!L13</f>
        <v>0</v>
      </c>
      <c r="M13" s="74">
        <f>'HC-BC'!M13</f>
        <v>0</v>
      </c>
      <c r="N13" s="74">
        <f>'HC-BC'!N13</f>
        <v>1332</v>
      </c>
      <c r="O13" s="74">
        <f>'HC-BC'!P13</f>
        <v>0</v>
      </c>
      <c r="P13" s="89"/>
      <c r="Q13" s="39">
        <f>G13+N13</f>
        <v>1377</v>
      </c>
      <c r="R13" s="5">
        <f>SUM(K13:L13)</f>
        <v>0</v>
      </c>
      <c r="T13" s="5">
        <f t="shared" si="1"/>
        <v>10913</v>
      </c>
    </row>
    <row r="15" spans="2:20" ht="30" x14ac:dyDescent="0.25">
      <c r="B15" s="43" t="s">
        <v>32</v>
      </c>
      <c r="C15" s="43" t="s">
        <v>0</v>
      </c>
      <c r="D15" s="43" t="s">
        <v>1</v>
      </c>
      <c r="E15" s="43" t="s">
        <v>28</v>
      </c>
      <c r="F15" s="2" t="s">
        <v>29</v>
      </c>
      <c r="G15" s="2" t="s">
        <v>6</v>
      </c>
      <c r="H15" s="43" t="s">
        <v>2</v>
      </c>
      <c r="I15" s="43" t="s">
        <v>3</v>
      </c>
      <c r="J15" s="43" t="s">
        <v>4</v>
      </c>
      <c r="K15" s="43" t="s">
        <v>9</v>
      </c>
      <c r="L15" s="43" t="s">
        <v>8</v>
      </c>
      <c r="M15" s="43" t="s">
        <v>25</v>
      </c>
      <c r="N15" s="43" t="s">
        <v>7</v>
      </c>
      <c r="O15" s="43" t="s">
        <v>89</v>
      </c>
      <c r="P15" s="25"/>
      <c r="Q15" s="43" t="s">
        <v>5</v>
      </c>
      <c r="R15" s="43" t="s">
        <v>91</v>
      </c>
      <c r="T15" s="43" t="s">
        <v>10</v>
      </c>
    </row>
    <row r="16" spans="2:20" ht="15" x14ac:dyDescent="0.25">
      <c r="B16" s="3">
        <v>2016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89"/>
      <c r="Q16" s="39">
        <f>G16+N16</f>
        <v>0</v>
      </c>
      <c r="R16" s="5">
        <f>SUM(K16:L16)</f>
        <v>0</v>
      </c>
      <c r="T16" s="5">
        <f>SUM(C16:O16)</f>
        <v>0</v>
      </c>
    </row>
    <row r="17" spans="1:23" ht="15" x14ac:dyDescent="0.25">
      <c r="B17" s="3">
        <v>2030</v>
      </c>
      <c r="C17" s="102">
        <v>0</v>
      </c>
      <c r="D17" s="102">
        <v>0</v>
      </c>
      <c r="E17" s="102">
        <v>10248</v>
      </c>
      <c r="F17" s="102">
        <v>6336</v>
      </c>
      <c r="G17" s="102">
        <v>0</v>
      </c>
      <c r="H17" s="102">
        <v>14700</v>
      </c>
      <c r="I17" s="102">
        <v>0</v>
      </c>
      <c r="J17" s="102">
        <v>12590</v>
      </c>
      <c r="K17" s="102">
        <v>250</v>
      </c>
      <c r="L17" s="102">
        <v>0</v>
      </c>
      <c r="M17" s="102">
        <v>500</v>
      </c>
      <c r="N17" s="102">
        <v>0</v>
      </c>
      <c r="O17" s="102">
        <v>0</v>
      </c>
      <c r="P17" s="89"/>
      <c r="Q17" s="39">
        <f>G17+N17</f>
        <v>0</v>
      </c>
      <c r="R17" s="5">
        <f>SUM(K17:L17)</f>
        <v>250</v>
      </c>
      <c r="T17" s="5">
        <f t="shared" ref="T17:T19" si="2">SUM(C17:O17)</f>
        <v>44624</v>
      </c>
    </row>
    <row r="18" spans="1:23" ht="15" x14ac:dyDescent="0.25">
      <c r="B18" s="3">
        <v>2040</v>
      </c>
      <c r="C18" s="102">
        <v>3750</v>
      </c>
      <c r="D18" s="102">
        <v>0</v>
      </c>
      <c r="E18" s="102">
        <v>28548</v>
      </c>
      <c r="F18" s="102">
        <v>7920</v>
      </c>
      <c r="G18" s="102">
        <v>0</v>
      </c>
      <c r="H18" s="102">
        <v>40500</v>
      </c>
      <c r="I18" s="102">
        <v>0</v>
      </c>
      <c r="J18" s="102">
        <v>31010</v>
      </c>
      <c r="K18" s="102">
        <v>250</v>
      </c>
      <c r="L18" s="102">
        <v>0</v>
      </c>
      <c r="M18" s="102">
        <v>1000</v>
      </c>
      <c r="N18" s="102">
        <v>0</v>
      </c>
      <c r="O18" s="102">
        <v>0</v>
      </c>
      <c r="P18" s="89"/>
      <c r="Q18" s="39">
        <f>G18+N18</f>
        <v>0</v>
      </c>
      <c r="R18" s="5">
        <f>SUM(K18:L18)</f>
        <v>250</v>
      </c>
      <c r="T18" s="5">
        <f t="shared" si="2"/>
        <v>112978</v>
      </c>
    </row>
    <row r="19" spans="1:23" ht="15" x14ac:dyDescent="0.25">
      <c r="B19" s="3">
        <v>2050</v>
      </c>
      <c r="C19" s="102">
        <v>7500</v>
      </c>
      <c r="D19" s="102">
        <v>0</v>
      </c>
      <c r="E19" s="102">
        <v>40992</v>
      </c>
      <c r="F19" s="102">
        <v>14652</v>
      </c>
      <c r="G19" s="102">
        <v>2500</v>
      </c>
      <c r="H19" s="102">
        <v>52200</v>
      </c>
      <c r="I19" s="102">
        <v>0</v>
      </c>
      <c r="J19" s="102">
        <v>41670</v>
      </c>
      <c r="K19" s="102">
        <v>250</v>
      </c>
      <c r="L19" s="102">
        <v>0</v>
      </c>
      <c r="M19" s="102">
        <v>1000</v>
      </c>
      <c r="N19" s="102">
        <v>0</v>
      </c>
      <c r="O19" s="102">
        <v>0</v>
      </c>
      <c r="P19" s="89"/>
      <c r="Q19" s="39">
        <f>G19+N19</f>
        <v>2500</v>
      </c>
      <c r="R19" s="5">
        <f>SUM(K19:L19)</f>
        <v>250</v>
      </c>
      <c r="T19" s="5">
        <f t="shared" si="2"/>
        <v>160764</v>
      </c>
    </row>
    <row r="21" spans="1:23" ht="30" x14ac:dyDescent="0.25">
      <c r="B21" s="43" t="s">
        <v>33</v>
      </c>
      <c r="C21" s="43" t="s">
        <v>0</v>
      </c>
      <c r="D21" s="43" t="s">
        <v>1</v>
      </c>
      <c r="E21" s="43" t="s">
        <v>28</v>
      </c>
      <c r="F21" s="2" t="s">
        <v>29</v>
      </c>
      <c r="G21" s="2" t="s">
        <v>6</v>
      </c>
      <c r="H21" s="43" t="s">
        <v>2</v>
      </c>
      <c r="I21" s="43" t="s">
        <v>3</v>
      </c>
      <c r="J21" s="43" t="s">
        <v>4</v>
      </c>
      <c r="K21" s="43" t="s">
        <v>9</v>
      </c>
      <c r="L21" s="43" t="s">
        <v>8</v>
      </c>
      <c r="M21" s="43" t="s">
        <v>25</v>
      </c>
      <c r="N21" s="43" t="s">
        <v>7</v>
      </c>
      <c r="O21" s="43" t="s">
        <v>89</v>
      </c>
      <c r="P21" s="25"/>
      <c r="Q21" s="43" t="s">
        <v>5</v>
      </c>
      <c r="R21" s="43" t="s">
        <v>91</v>
      </c>
      <c r="T21" s="43" t="s">
        <v>10</v>
      </c>
      <c r="V21" s="25"/>
      <c r="W21" s="25"/>
    </row>
    <row r="22" spans="1:23" ht="15" x14ac:dyDescent="0.25">
      <c r="A22" s="15">
        <f>C22-C16</f>
        <v>36782</v>
      </c>
      <c r="B22" s="3">
        <v>2016</v>
      </c>
      <c r="C22" s="50">
        <f>C4+C10+C16</f>
        <v>36782</v>
      </c>
      <c r="D22" s="50">
        <f t="shared" ref="D22:O25" si="3">D4+D10+D16</f>
        <v>1860</v>
      </c>
      <c r="E22" s="50">
        <f t="shared" si="3"/>
        <v>424.6</v>
      </c>
      <c r="F22" s="50">
        <f t="shared" si="3"/>
        <v>3419</v>
      </c>
      <c r="G22" s="50">
        <f t="shared" si="3"/>
        <v>2179</v>
      </c>
      <c r="H22" s="50">
        <f t="shared" si="3"/>
        <v>1460</v>
      </c>
      <c r="I22" s="50">
        <f t="shared" si="3"/>
        <v>200</v>
      </c>
      <c r="J22" s="50">
        <f t="shared" si="3"/>
        <v>1479</v>
      </c>
      <c r="K22" s="50">
        <f t="shared" si="3"/>
        <v>0</v>
      </c>
      <c r="L22" s="50">
        <f t="shared" si="3"/>
        <v>264</v>
      </c>
      <c r="M22" s="50">
        <f t="shared" si="3"/>
        <v>0</v>
      </c>
      <c r="N22" s="50">
        <f t="shared" si="3"/>
        <v>1580</v>
      </c>
      <c r="O22" s="50">
        <f t="shared" si="3"/>
        <v>0</v>
      </c>
      <c r="P22" s="56"/>
      <c r="Q22" s="39">
        <f>G22+N22</f>
        <v>3759</v>
      </c>
      <c r="R22" s="5">
        <f>SUM(K22:L22)</f>
        <v>264</v>
      </c>
      <c r="T22" s="5">
        <f>SUM(C22:O22)</f>
        <v>49647.6</v>
      </c>
      <c r="V22" s="24"/>
      <c r="W22" s="26"/>
    </row>
    <row r="23" spans="1:23" ht="15" x14ac:dyDescent="0.25">
      <c r="A23" s="15">
        <f t="shared" ref="A23:A25" si="4">C23-C17</f>
        <v>32616</v>
      </c>
      <c r="B23" s="3">
        <v>2030</v>
      </c>
      <c r="C23" s="50">
        <f t="shared" ref="C23:N25" si="5">C5+C11+C17</f>
        <v>32616</v>
      </c>
      <c r="D23" s="50">
        <f t="shared" si="5"/>
        <v>1860</v>
      </c>
      <c r="E23" s="50">
        <f t="shared" si="5"/>
        <v>10672.6</v>
      </c>
      <c r="F23" s="50">
        <f t="shared" si="5"/>
        <v>9413</v>
      </c>
      <c r="G23" s="50">
        <f t="shared" si="5"/>
        <v>2224</v>
      </c>
      <c r="H23" s="50">
        <f t="shared" si="5"/>
        <v>18806</v>
      </c>
      <c r="I23" s="50">
        <f t="shared" si="5"/>
        <v>1050</v>
      </c>
      <c r="J23" s="50">
        <f t="shared" si="5"/>
        <v>15401</v>
      </c>
      <c r="K23" s="50">
        <f t="shared" si="5"/>
        <v>303</v>
      </c>
      <c r="L23" s="50">
        <f t="shared" si="5"/>
        <v>417</v>
      </c>
      <c r="M23" s="50">
        <f t="shared" si="5"/>
        <v>500</v>
      </c>
      <c r="N23" s="50">
        <f t="shared" si="5"/>
        <v>2912</v>
      </c>
      <c r="O23" s="50">
        <f t="shared" si="3"/>
        <v>0</v>
      </c>
      <c r="P23" s="56"/>
      <c r="Q23" s="39">
        <f>G23+N23</f>
        <v>5136</v>
      </c>
      <c r="R23" s="5">
        <f>SUM(K23:L23)</f>
        <v>720</v>
      </c>
      <c r="T23" s="5">
        <f t="shared" ref="T23:T25" si="6">SUM(C23:O23)</f>
        <v>96174.6</v>
      </c>
      <c r="V23" s="24"/>
      <c r="W23" s="26"/>
    </row>
    <row r="24" spans="1:23" ht="15" x14ac:dyDescent="0.25">
      <c r="A24" s="15">
        <f t="shared" si="4"/>
        <v>17196</v>
      </c>
      <c r="B24" s="3">
        <v>2040</v>
      </c>
      <c r="C24" s="50">
        <f t="shared" si="5"/>
        <v>20946</v>
      </c>
      <c r="D24" s="50">
        <f t="shared" si="5"/>
        <v>1860</v>
      </c>
      <c r="E24" s="50">
        <f t="shared" si="5"/>
        <v>28972.6</v>
      </c>
      <c r="F24" s="50">
        <f t="shared" si="5"/>
        <v>8925</v>
      </c>
      <c r="G24" s="50">
        <f t="shared" si="5"/>
        <v>2224</v>
      </c>
      <c r="H24" s="50">
        <f t="shared" si="5"/>
        <v>40500</v>
      </c>
      <c r="I24" s="50">
        <f t="shared" si="5"/>
        <v>1050</v>
      </c>
      <c r="J24" s="50">
        <f t="shared" si="5"/>
        <v>32777</v>
      </c>
      <c r="K24" s="50">
        <f t="shared" si="5"/>
        <v>303</v>
      </c>
      <c r="L24" s="50">
        <f t="shared" si="5"/>
        <v>417</v>
      </c>
      <c r="M24" s="50">
        <f t="shared" si="5"/>
        <v>1000</v>
      </c>
      <c r="N24" s="50">
        <f t="shared" si="5"/>
        <v>2912</v>
      </c>
      <c r="O24" s="50">
        <f t="shared" si="3"/>
        <v>0</v>
      </c>
      <c r="P24" s="56"/>
      <c r="Q24" s="39">
        <f>G24+N24</f>
        <v>5136</v>
      </c>
      <c r="R24" s="5">
        <f>SUM(K24:L24)</f>
        <v>720</v>
      </c>
      <c r="T24" s="5">
        <f t="shared" si="6"/>
        <v>141886.6</v>
      </c>
      <c r="V24" s="24"/>
      <c r="W24" s="26"/>
    </row>
    <row r="25" spans="1:23" ht="15" x14ac:dyDescent="0.25">
      <c r="A25" s="15">
        <f t="shared" si="4"/>
        <v>10206</v>
      </c>
      <c r="B25" s="3">
        <v>2050</v>
      </c>
      <c r="C25" s="50">
        <f t="shared" si="5"/>
        <v>17706</v>
      </c>
      <c r="D25" s="50">
        <f t="shared" si="5"/>
        <v>0</v>
      </c>
      <c r="E25" s="50">
        <f t="shared" si="5"/>
        <v>41416.6</v>
      </c>
      <c r="F25" s="50">
        <f t="shared" si="5"/>
        <v>14652</v>
      </c>
      <c r="G25" s="50">
        <f t="shared" si="5"/>
        <v>4724</v>
      </c>
      <c r="H25" s="50">
        <f t="shared" si="5"/>
        <v>52200</v>
      </c>
      <c r="I25" s="50">
        <f t="shared" si="5"/>
        <v>0</v>
      </c>
      <c r="J25" s="50">
        <f t="shared" si="5"/>
        <v>41670</v>
      </c>
      <c r="K25" s="50">
        <f t="shared" si="5"/>
        <v>250</v>
      </c>
      <c r="L25" s="50">
        <f t="shared" si="5"/>
        <v>264</v>
      </c>
      <c r="M25" s="50">
        <f t="shared" si="5"/>
        <v>1000</v>
      </c>
      <c r="N25" s="50">
        <f t="shared" si="5"/>
        <v>2912</v>
      </c>
      <c r="O25" s="50">
        <f t="shared" si="3"/>
        <v>0</v>
      </c>
      <c r="P25" s="56"/>
      <c r="Q25" s="39">
        <f>G25+N25</f>
        <v>7636</v>
      </c>
      <c r="R25" s="5">
        <f>SUM(K25:L25)</f>
        <v>514</v>
      </c>
      <c r="T25" s="5">
        <f t="shared" si="6"/>
        <v>176794.6</v>
      </c>
      <c r="V25" s="24"/>
      <c r="W25" s="26"/>
    </row>
    <row r="26" spans="1:23" ht="15" x14ac:dyDescent="0.25">
      <c r="V26" s="11"/>
      <c r="W26" s="11"/>
    </row>
    <row r="27" spans="1:23" ht="15" x14ac:dyDescent="0.25">
      <c r="B27" s="3">
        <v>2016</v>
      </c>
      <c r="C27" s="23">
        <f t="shared" ref="C27:O30" si="7">C22/$T22</f>
        <v>0.74086159250396799</v>
      </c>
      <c r="D27" s="23">
        <f t="shared" si="7"/>
        <v>3.74640466004399E-2</v>
      </c>
      <c r="E27" s="23">
        <f t="shared" si="7"/>
        <v>8.5522764443799904E-3</v>
      </c>
      <c r="F27" s="23">
        <f t="shared" si="7"/>
        <v>6.8865363078980654E-2</v>
      </c>
      <c r="G27" s="23">
        <f t="shared" si="7"/>
        <v>4.3889332012020721E-2</v>
      </c>
      <c r="H27" s="23">
        <f t="shared" si="7"/>
        <v>2.9407262385291535E-2</v>
      </c>
      <c r="I27" s="23">
        <f t="shared" si="7"/>
        <v>4.0283921075741826E-3</v>
      </c>
      <c r="J27" s="23">
        <f t="shared" si="7"/>
        <v>2.9789959635511083E-2</v>
      </c>
      <c r="K27" s="23">
        <f t="shared" si="7"/>
        <v>0</v>
      </c>
      <c r="L27" s="23">
        <f t="shared" si="7"/>
        <v>5.3174775819979214E-3</v>
      </c>
      <c r="M27" s="23">
        <f t="shared" si="7"/>
        <v>0</v>
      </c>
      <c r="N27" s="23">
        <f t="shared" si="7"/>
        <v>3.1824297649836047E-2</v>
      </c>
      <c r="O27" s="23">
        <f t="shared" si="7"/>
        <v>0</v>
      </c>
      <c r="P27" s="26"/>
      <c r="Q27" s="7">
        <f t="shared" ref="Q27:R30" si="8">Q22/$T22</f>
        <v>7.5713629661856768E-2</v>
      </c>
      <c r="R27" s="7">
        <f t="shared" si="8"/>
        <v>5.3174775819979214E-3</v>
      </c>
      <c r="T27" s="8">
        <f>SUM(C27:O27)</f>
        <v>1</v>
      </c>
    </row>
    <row r="28" spans="1:23" ht="15" x14ac:dyDescent="0.25">
      <c r="B28" s="3">
        <v>2030</v>
      </c>
      <c r="C28" s="23">
        <f t="shared" si="7"/>
        <v>0.33913320148979043</v>
      </c>
      <c r="D28" s="23">
        <f t="shared" si="7"/>
        <v>1.9339825692022632E-2</v>
      </c>
      <c r="E28" s="23">
        <f t="shared" si="7"/>
        <v>0.11097108800036599</v>
      </c>
      <c r="F28" s="23">
        <f t="shared" si="7"/>
        <v>9.7874074859682275E-2</v>
      </c>
      <c r="G28" s="23">
        <f t="shared" si="7"/>
        <v>2.3124608784439966E-2</v>
      </c>
      <c r="H28" s="23">
        <f t="shared" si="7"/>
        <v>0.19554019460439659</v>
      </c>
      <c r="I28" s="23">
        <f t="shared" si="7"/>
        <v>1.0917643535819229E-2</v>
      </c>
      <c r="J28" s="23">
        <f t="shared" si="7"/>
        <v>0.16013583628109707</v>
      </c>
      <c r="K28" s="23">
        <f t="shared" si="7"/>
        <v>3.1505199917649771E-3</v>
      </c>
      <c r="L28" s="23">
        <f t="shared" si="7"/>
        <v>4.3358641470824938E-3</v>
      </c>
      <c r="M28" s="23">
        <f t="shared" si="7"/>
        <v>5.1988778741996321E-3</v>
      </c>
      <c r="N28" s="23">
        <f t="shared" si="7"/>
        <v>3.0278264739338659E-2</v>
      </c>
      <c r="O28" s="23">
        <f t="shared" si="7"/>
        <v>0</v>
      </c>
      <c r="P28" s="26"/>
      <c r="Q28" s="7">
        <f t="shared" si="8"/>
        <v>5.3402873523778621E-2</v>
      </c>
      <c r="R28" s="7">
        <f t="shared" si="8"/>
        <v>7.4863841388474704E-3</v>
      </c>
      <c r="T28" s="8">
        <f t="shared" ref="T28:T30" si="9">SUM(C28:O28)</f>
        <v>1</v>
      </c>
    </row>
    <row r="29" spans="1:23" ht="15" x14ac:dyDescent="0.25">
      <c r="B29" s="3">
        <v>2040</v>
      </c>
      <c r="C29" s="23">
        <f t="shared" si="7"/>
        <v>0.14762493427850126</v>
      </c>
      <c r="D29" s="23">
        <f t="shared" si="7"/>
        <v>1.3109060334097793E-2</v>
      </c>
      <c r="E29" s="23">
        <f t="shared" si="7"/>
        <v>0.20419546313746328</v>
      </c>
      <c r="F29" s="23">
        <f t="shared" si="7"/>
        <v>6.2902345957969244E-2</v>
      </c>
      <c r="G29" s="23">
        <f t="shared" si="7"/>
        <v>1.5674489345716931E-2</v>
      </c>
      <c r="H29" s="23">
        <f t="shared" si="7"/>
        <v>0.28543921695212937</v>
      </c>
      <c r="I29" s="23">
        <f t="shared" si="7"/>
        <v>7.4002759950552053E-3</v>
      </c>
      <c r="J29" s="23">
        <f t="shared" si="7"/>
        <v>0.23100842503802332</v>
      </c>
      <c r="K29" s="23">
        <f t="shared" si="7"/>
        <v>2.1355082157159307E-3</v>
      </c>
      <c r="L29" s="23">
        <f t="shared" si="7"/>
        <v>2.9389667523219247E-3</v>
      </c>
      <c r="M29" s="23">
        <f t="shared" si="7"/>
        <v>7.0478819000525765E-3</v>
      </c>
      <c r="N29" s="23">
        <f t="shared" si="7"/>
        <v>2.0523432092953105E-2</v>
      </c>
      <c r="O29" s="23">
        <f t="shared" si="7"/>
        <v>0</v>
      </c>
      <c r="P29" s="26"/>
      <c r="Q29" s="7">
        <f t="shared" si="8"/>
        <v>3.6197921438670032E-2</v>
      </c>
      <c r="R29" s="7">
        <f t="shared" si="8"/>
        <v>5.0744749680378554E-3</v>
      </c>
      <c r="T29" s="8">
        <f t="shared" si="9"/>
        <v>1</v>
      </c>
    </row>
    <row r="30" spans="1:23" ht="15" x14ac:dyDescent="0.25">
      <c r="B30" s="3">
        <v>2050</v>
      </c>
      <c r="C30" s="23">
        <f t="shared" si="7"/>
        <v>0.10015011770721503</v>
      </c>
      <c r="D30" s="23">
        <f t="shared" si="7"/>
        <v>0</v>
      </c>
      <c r="E30" s="23">
        <f t="shared" si="7"/>
        <v>0.23426394245073096</v>
      </c>
      <c r="F30" s="23">
        <f t="shared" si="7"/>
        <v>8.2875834442907192E-2</v>
      </c>
      <c r="G30" s="23">
        <f t="shared" si="7"/>
        <v>2.6720273130514165E-2</v>
      </c>
      <c r="H30" s="23">
        <f t="shared" si="7"/>
        <v>0.29525788683591014</v>
      </c>
      <c r="I30" s="23">
        <f t="shared" si="7"/>
        <v>0</v>
      </c>
      <c r="J30" s="23">
        <f t="shared" si="7"/>
        <v>0.23569724414659723</v>
      </c>
      <c r="K30" s="23">
        <f t="shared" si="7"/>
        <v>1.4140703392524431E-3</v>
      </c>
      <c r="L30" s="23">
        <f t="shared" si="7"/>
        <v>1.49325827825058E-3</v>
      </c>
      <c r="M30" s="23">
        <f t="shared" si="7"/>
        <v>5.6562813570097724E-3</v>
      </c>
      <c r="N30" s="23">
        <f t="shared" si="7"/>
        <v>1.6471091311612458E-2</v>
      </c>
      <c r="O30" s="23">
        <f t="shared" si="7"/>
        <v>0</v>
      </c>
      <c r="P30" s="26"/>
      <c r="Q30" s="7">
        <f t="shared" si="8"/>
        <v>4.3191364442126623E-2</v>
      </c>
      <c r="R30" s="7">
        <f t="shared" si="8"/>
        <v>2.9073286175030234E-3</v>
      </c>
      <c r="T30" s="8">
        <f t="shared" si="9"/>
        <v>1</v>
      </c>
    </row>
    <row r="32" spans="1:23" s="9" customFormat="1" ht="21" x14ac:dyDescent="0.35">
      <c r="B32" s="10" t="s">
        <v>53</v>
      </c>
    </row>
    <row r="33" spans="2:42" ht="30" x14ac:dyDescent="0.25">
      <c r="B33" s="43" t="s">
        <v>34</v>
      </c>
      <c r="C33" s="43" t="s">
        <v>0</v>
      </c>
      <c r="D33" s="43" t="s">
        <v>1</v>
      </c>
      <c r="E33" s="43" t="s">
        <v>28</v>
      </c>
      <c r="F33" s="2" t="s">
        <v>29</v>
      </c>
      <c r="G33" s="2" t="s">
        <v>6</v>
      </c>
      <c r="H33" s="43" t="s">
        <v>2</v>
      </c>
      <c r="I33" s="43" t="s">
        <v>3</v>
      </c>
      <c r="J33" s="43" t="s">
        <v>4</v>
      </c>
      <c r="K33" s="43" t="s">
        <v>9</v>
      </c>
      <c r="L33" s="43" t="s">
        <v>8</v>
      </c>
      <c r="M33" s="43" t="s">
        <v>25</v>
      </c>
      <c r="N33" s="43" t="s">
        <v>7</v>
      </c>
      <c r="O33" s="43" t="s">
        <v>89</v>
      </c>
      <c r="P33" s="25"/>
      <c r="Q33" s="43" t="s">
        <v>5</v>
      </c>
      <c r="R33" s="43" t="s">
        <v>91</v>
      </c>
      <c r="T33" s="43" t="s">
        <v>10</v>
      </c>
      <c r="X33" s="39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</row>
    <row r="34" spans="2:42" ht="15" x14ac:dyDescent="0.25">
      <c r="B34" s="3">
        <v>2016</v>
      </c>
      <c r="C34" s="50">
        <f>'HC-BC'!C34</f>
        <v>194808.80434990322</v>
      </c>
      <c r="D34" s="50">
        <f>'HC-BC'!D34</f>
        <v>14743.87884401034</v>
      </c>
      <c r="E34" s="50">
        <f>'HC-BC'!E34</f>
        <v>756.07675598824017</v>
      </c>
      <c r="F34" s="50">
        <f>'HC-BC'!F34</f>
        <v>2024.3136712665919</v>
      </c>
      <c r="G34" s="50">
        <f>'HC-BC'!G34</f>
        <v>15799.124268819065</v>
      </c>
      <c r="H34" s="50">
        <f>'HC-BC'!H34</f>
        <v>4022.2162852660199</v>
      </c>
      <c r="I34" s="50">
        <f>'HC-BC'!I34</f>
        <v>827.66992563012559</v>
      </c>
      <c r="J34" s="50">
        <f>'HC-BC'!J34</f>
        <v>2639.0862346009021</v>
      </c>
      <c r="K34" s="50">
        <f>'HC-BC'!K34</f>
        <v>0</v>
      </c>
      <c r="L34" s="50">
        <f>'HC-BC'!L34</f>
        <v>1583.7347303540462</v>
      </c>
      <c r="M34" s="50">
        <f>'HC-BC'!M34</f>
        <v>0</v>
      </c>
      <c r="N34" s="50">
        <f>'HC-BC'!N34</f>
        <v>2994.3929759978951</v>
      </c>
      <c r="O34" s="50">
        <f>'HC-BC'!P34</f>
        <v>0</v>
      </c>
      <c r="P34" s="56"/>
      <c r="Q34" s="39">
        <f>G34+N34</f>
        <v>18793.517244816961</v>
      </c>
      <c r="R34" s="5">
        <f>SUM(K34:L34)</f>
        <v>1583.7347303540462</v>
      </c>
      <c r="T34" s="5">
        <f>SUM(C34:O34)</f>
        <v>240199.29804183645</v>
      </c>
      <c r="X34" s="39"/>
      <c r="Y34" s="39"/>
      <c r="Z34" s="39"/>
      <c r="AA34" s="39"/>
    </row>
    <row r="35" spans="2:42" ht="15" x14ac:dyDescent="0.25">
      <c r="B35" s="3">
        <v>2030</v>
      </c>
      <c r="C35" s="102">
        <f>Y35*(Inputs_Summary!$E73/$Y53)</f>
        <v>129707.47272798815</v>
      </c>
      <c r="D35" s="102">
        <f>Z35*(Inputs_Summary!$E73/$Y53)</f>
        <v>14610.27192296449</v>
      </c>
      <c r="E35" s="102">
        <f>AA35*(Inputs_Summary!$E73/$Y53)</f>
        <v>2223.56833231378</v>
      </c>
      <c r="F35" s="102">
        <f>AB35*(Inputs_Summary!$E73/$Y53)</f>
        <v>113.21838756276587</v>
      </c>
      <c r="G35" s="102">
        <f>AC35*(Inputs_Summary!$E73/$Y53)</f>
        <v>12577.440874202395</v>
      </c>
      <c r="H35" s="102">
        <f>AD35*(Inputs_Summary!$E73/$Y53)</f>
        <v>4187.0403688752604</v>
      </c>
      <c r="I35" s="102">
        <f>AE35*(Inputs_Summary!$E73/$Y53)</f>
        <v>838.42805924859056</v>
      </c>
      <c r="J35" s="102">
        <f>AF35*(Inputs_Summary!$E73/$Y53)</f>
        <v>2623.4026379408451</v>
      </c>
      <c r="K35" s="102">
        <f>AG35*(Inputs_Summary!$E73/$Y53)</f>
        <v>0</v>
      </c>
      <c r="L35" s="102">
        <f>AH35*(Inputs_Summary!$E73/$Y53)</f>
        <v>1576.8975420904148</v>
      </c>
      <c r="M35" s="102">
        <f>AI35*(Inputs_Summary!$E73/$Y53)</f>
        <v>0</v>
      </c>
      <c r="N35" s="102">
        <f>AJ35*(Inputs_Summary!$E73/$Y53)</f>
        <v>2208.2685502107038</v>
      </c>
      <c r="O35" s="102">
        <f>AK35*(Inputs_Summary!$E73/$Y53)</f>
        <v>0</v>
      </c>
      <c r="P35" s="56"/>
      <c r="Q35" s="39">
        <f>G35+N35</f>
        <v>14785.709424413099</v>
      </c>
      <c r="R35" s="5">
        <f>SUM(K35:L35)</f>
        <v>1576.8975420904148</v>
      </c>
      <c r="T35" s="5">
        <f t="shared" ref="T35:T37" si="10">SUM(C35:O35)</f>
        <v>170666.00940339736</v>
      </c>
      <c r="Y35" s="39">
        <v>127166</v>
      </c>
      <c r="Z35" s="39">
        <v>14324</v>
      </c>
      <c r="AA35" s="39">
        <v>2180</v>
      </c>
      <c r="AB35" s="39">
        <v>111</v>
      </c>
      <c r="AC35" s="39">
        <v>12331</v>
      </c>
      <c r="AD35" s="39">
        <v>4105</v>
      </c>
      <c r="AE35" s="39">
        <v>822</v>
      </c>
      <c r="AF35" s="39">
        <v>2572</v>
      </c>
      <c r="AG35" s="39">
        <v>0</v>
      </c>
      <c r="AH35" s="39">
        <v>1546</v>
      </c>
      <c r="AI35" s="39">
        <v>0</v>
      </c>
      <c r="AJ35" s="39">
        <v>2165</v>
      </c>
      <c r="AK35" s="39">
        <f>AK$33*8760*O5/1000</f>
        <v>0</v>
      </c>
      <c r="AL35" s="39"/>
      <c r="AM35" s="39"/>
    </row>
    <row r="36" spans="2:42" ht="15" x14ac:dyDescent="0.25">
      <c r="B36" s="3">
        <v>2040</v>
      </c>
      <c r="C36" s="102">
        <f>Y36*(Inputs_Summary!$E74/$Y54)</f>
        <v>41928.076259358037</v>
      </c>
      <c r="D36" s="102">
        <f>Z36*(Inputs_Summary!$E74/$Y54)</f>
        <v>14581.582891089525</v>
      </c>
      <c r="E36" s="102">
        <f>AA36*(Inputs_Summary!$E74/$Y54)</f>
        <v>2314.7760718981649</v>
      </c>
      <c r="F36" s="102">
        <f>AB36*(Inputs_Summary!$E74/$Y54)</f>
        <v>84.356264659195602</v>
      </c>
      <c r="G36" s="102">
        <f>AC36*(Inputs_Summary!$E74/$Y54)</f>
        <v>12862.321878035444</v>
      </c>
      <c r="H36" s="102">
        <f>AD36*(Inputs_Summary!$E74/$Y54)</f>
        <v>0</v>
      </c>
      <c r="I36" s="102">
        <f>AE36*(Inputs_Summary!$E74/$Y54)</f>
        <v>845.57112908384158</v>
      </c>
      <c r="J36" s="102">
        <f>AF36*(Inputs_Summary!$E74/$Y54)</f>
        <v>776.27848311378807</v>
      </c>
      <c r="K36" s="102">
        <f>AG36*(Inputs_Summary!$E74/$Y54)</f>
        <v>0</v>
      </c>
      <c r="L36" s="102">
        <f>AH36*(Inputs_Summary!$E74/$Y54)</f>
        <v>1688.1295344298549</v>
      </c>
      <c r="M36" s="102">
        <f>AI36*(Inputs_Summary!$E74/$Y54)</f>
        <v>0</v>
      </c>
      <c r="N36" s="102">
        <f>AJ36*(Inputs_Summary!$E74/$Y54)</f>
        <v>1890.9862661103014</v>
      </c>
      <c r="O36" s="102">
        <f>AK36*(Inputs_Summary!$E74/$Y54)</f>
        <v>0</v>
      </c>
      <c r="P36" s="56"/>
      <c r="Q36" s="39">
        <f>G36+N36</f>
        <v>14753.308144145745</v>
      </c>
      <c r="R36" s="5">
        <f>SUM(K36:L36)</f>
        <v>1688.1295344298549</v>
      </c>
      <c r="T36" s="5">
        <f t="shared" si="10"/>
        <v>76972.078777778137</v>
      </c>
      <c r="Y36" s="39">
        <v>41751</v>
      </c>
      <c r="Z36" s="39">
        <v>14520</v>
      </c>
      <c r="AA36" s="39">
        <v>2305</v>
      </c>
      <c r="AB36" s="39">
        <v>84</v>
      </c>
      <c r="AC36" s="39">
        <v>12808</v>
      </c>
      <c r="AD36" s="39">
        <v>0</v>
      </c>
      <c r="AE36" s="39">
        <v>842</v>
      </c>
      <c r="AF36" s="39">
        <v>773</v>
      </c>
      <c r="AG36" s="39">
        <v>0</v>
      </c>
      <c r="AH36" s="39">
        <v>1681</v>
      </c>
      <c r="AI36" s="39">
        <v>0</v>
      </c>
      <c r="AJ36" s="39">
        <v>1883</v>
      </c>
      <c r="AK36" s="39">
        <f>AK$33*8760*O6/1000</f>
        <v>0</v>
      </c>
      <c r="AL36" s="39"/>
      <c r="AM36" s="39"/>
    </row>
    <row r="37" spans="2:42" ht="15" x14ac:dyDescent="0.25">
      <c r="B37" s="3">
        <v>2050</v>
      </c>
      <c r="C37" s="102">
        <f>Y37*(Inputs_Summary!$E75/$Y55)</f>
        <v>0</v>
      </c>
      <c r="D37" s="102">
        <f>Z37*(Inputs_Summary!$E75/$Y55)</f>
        <v>0</v>
      </c>
      <c r="E37" s="102">
        <f>AA37*(Inputs_Summary!$E75/$Y55)</f>
        <v>2446.4603974843612</v>
      </c>
      <c r="F37" s="102">
        <f>AB37*(Inputs_Summary!$E75/$Y55)</f>
        <v>0</v>
      </c>
      <c r="G37" s="102">
        <f>AC37*(Inputs_Summary!$E75/$Y55)</f>
        <v>12830.687475658413</v>
      </c>
      <c r="H37" s="102">
        <f>AD37*(Inputs_Summary!$E75/$Y55)</f>
        <v>0</v>
      </c>
      <c r="I37" s="102">
        <f>AE37*(Inputs_Summary!$E75/$Y55)</f>
        <v>0</v>
      </c>
      <c r="J37" s="102">
        <f>AF37*(Inputs_Summary!$E75/$Y55)</f>
        <v>0</v>
      </c>
      <c r="K37" s="102">
        <f>AG37*(Inputs_Summary!$E75/$Y55)</f>
        <v>0</v>
      </c>
      <c r="L37" s="102">
        <f>AH37*(Inputs_Summary!$E75/$Y55)</f>
        <v>1776.8385416005385</v>
      </c>
      <c r="M37" s="102">
        <f>AI37*(Inputs_Summary!$E75/$Y55)</f>
        <v>0</v>
      </c>
      <c r="N37" s="102">
        <f>AJ37*(Inputs_Summary!$E75/$Y55)</f>
        <v>1406.4094298350196</v>
      </c>
      <c r="O37" s="102">
        <f>AK37*(Inputs_Summary!$E75/$Y55)</f>
        <v>0</v>
      </c>
      <c r="P37" s="56"/>
      <c r="Q37" s="39">
        <f>G37+N37</f>
        <v>14237.096905493432</v>
      </c>
      <c r="R37" s="5">
        <f>SUM(K37:L37)</f>
        <v>1776.8385416005385</v>
      </c>
      <c r="T37" s="5">
        <f t="shared" si="10"/>
        <v>18460.395844578332</v>
      </c>
      <c r="Y37" s="39">
        <v>0</v>
      </c>
      <c r="Z37" s="39">
        <v>0</v>
      </c>
      <c r="AA37" s="39">
        <v>2404</v>
      </c>
      <c r="AB37" s="39">
        <v>0</v>
      </c>
      <c r="AC37" s="39">
        <v>12608</v>
      </c>
      <c r="AD37" s="39">
        <v>0</v>
      </c>
      <c r="AE37" s="39">
        <v>0</v>
      </c>
      <c r="AF37" s="39">
        <v>0</v>
      </c>
      <c r="AG37" s="39">
        <v>0</v>
      </c>
      <c r="AH37" s="39">
        <v>1746</v>
      </c>
      <c r="AI37" s="39">
        <v>0</v>
      </c>
      <c r="AJ37" s="39">
        <v>1382</v>
      </c>
      <c r="AK37" s="39">
        <f>AK$33*8760*O7/1000</f>
        <v>0</v>
      </c>
      <c r="AL37" s="39"/>
      <c r="AM37" s="39"/>
    </row>
    <row r="38" spans="2:42" ht="15" x14ac:dyDescent="0.25">
      <c r="Q38" s="5"/>
      <c r="R38" s="5"/>
      <c r="S38" s="5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J38" s="39"/>
      <c r="AK38" s="39"/>
    </row>
    <row r="39" spans="2:42" ht="30" x14ac:dyDescent="0.25">
      <c r="B39" s="43" t="s">
        <v>35</v>
      </c>
      <c r="C39" s="43" t="s">
        <v>0</v>
      </c>
      <c r="D39" s="43" t="s">
        <v>1</v>
      </c>
      <c r="E39" s="43" t="s">
        <v>28</v>
      </c>
      <c r="F39" s="2" t="s">
        <v>29</v>
      </c>
      <c r="G39" s="2" t="s">
        <v>6</v>
      </c>
      <c r="H39" s="43" t="s">
        <v>2</v>
      </c>
      <c r="I39" s="43" t="s">
        <v>3</v>
      </c>
      <c r="J39" s="43" t="s">
        <v>4</v>
      </c>
      <c r="K39" s="43" t="s">
        <v>9</v>
      </c>
      <c r="L39" s="43" t="s">
        <v>8</v>
      </c>
      <c r="M39" s="43" t="s">
        <v>25</v>
      </c>
      <c r="N39" s="43" t="s">
        <v>7</v>
      </c>
      <c r="O39" s="43" t="s">
        <v>89</v>
      </c>
      <c r="P39" s="25"/>
      <c r="Q39" s="43" t="s">
        <v>5</v>
      </c>
      <c r="R39" s="43" t="s">
        <v>91</v>
      </c>
      <c r="T39" s="43" t="s">
        <v>10</v>
      </c>
      <c r="X39" s="39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</row>
    <row r="40" spans="2:42" ht="15" x14ac:dyDescent="0.25">
      <c r="B40" s="3">
        <v>2016</v>
      </c>
      <c r="C40" s="102">
        <f>Y40*(Inputs_Summary!$E72/$Y52)</f>
        <v>0</v>
      </c>
      <c r="D40" s="102">
        <f>Z40*(Inputs_Summary!$E72/$Y52)</f>
        <v>0</v>
      </c>
      <c r="E40" s="102">
        <f>AA40*(Inputs_Summary!$E72/$Y52)</f>
        <v>0</v>
      </c>
      <c r="F40" s="102">
        <f>AB40*(Inputs_Summary!$E72/$Y52)</f>
        <v>0</v>
      </c>
      <c r="G40" s="102">
        <f>AC40*(Inputs_Summary!$E72/$Y52)</f>
        <v>0</v>
      </c>
      <c r="H40" s="102">
        <f>AD40*(Inputs_Summary!$E72/$Y52)</f>
        <v>0</v>
      </c>
      <c r="I40" s="102">
        <f>AE40*(Inputs_Summary!$E72/$Y52)</f>
        <v>0</v>
      </c>
      <c r="J40" s="102">
        <f>AF40*(Inputs_Summary!$E72/$Y52)</f>
        <v>0</v>
      </c>
      <c r="K40" s="102">
        <f>AG40*(Inputs_Summary!$E72/$Y52)</f>
        <v>0</v>
      </c>
      <c r="L40" s="102">
        <f>AH40*(Inputs_Summary!$E72/$Y52)</f>
        <v>0</v>
      </c>
      <c r="M40" s="102">
        <f>AI40*(Inputs_Summary!$E72/$Y52)</f>
        <v>0</v>
      </c>
      <c r="N40" s="102">
        <f>AJ40*(Inputs_Summary!$E72/$Y52)</f>
        <v>0</v>
      </c>
      <c r="O40" s="102">
        <f>AK40*(Inputs_Summary!$E72/$Y52)</f>
        <v>0</v>
      </c>
      <c r="P40" s="56"/>
      <c r="Q40" s="39">
        <f>G40+N40</f>
        <v>0</v>
      </c>
      <c r="R40" s="5">
        <f>SUM(K40:L40)</f>
        <v>0</v>
      </c>
      <c r="T40" s="5">
        <f>SUM(C40:O40)</f>
        <v>0</v>
      </c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</row>
    <row r="41" spans="2:42" ht="15" x14ac:dyDescent="0.25">
      <c r="B41" s="3">
        <v>2030</v>
      </c>
      <c r="C41" s="102">
        <f>Y41*(Inputs_Summary!$E73/$Y53)</f>
        <v>67490.398813090927</v>
      </c>
      <c r="D41" s="102">
        <f>Z41*(Inputs_Summary!$E73/$Y53)</f>
        <v>0</v>
      </c>
      <c r="E41" s="102">
        <f>AA41*(Inputs_Summary!$E73/$Y53)</f>
        <v>0</v>
      </c>
      <c r="F41" s="102">
        <f>AB41*(Inputs_Summary!$E73/$Y53)</f>
        <v>0</v>
      </c>
      <c r="G41" s="102">
        <f>AC41*(Inputs_Summary!$E73/$Y53)</f>
        <v>194.81722544584036</v>
      </c>
      <c r="H41" s="102">
        <f>AD41*(Inputs_Summary!$E73/$Y53)</f>
        <v>8977.9121380852721</v>
      </c>
      <c r="I41" s="102">
        <f>AE41*(Inputs_Summary!$E73/$Y53)</f>
        <v>4219.6799040284905</v>
      </c>
      <c r="J41" s="102">
        <f>AF41*(Inputs_Summary!$E73/$Y53)</f>
        <v>2363.3063421885454</v>
      </c>
      <c r="K41" s="102">
        <f>AG41*(Inputs_Summary!$E73/$Y53)</f>
        <v>185.63735618399448</v>
      </c>
      <c r="L41" s="102">
        <f>AH41*(Inputs_Summary!$E73/$Y53)</f>
        <v>1029.1653428002771</v>
      </c>
      <c r="M41" s="102">
        <f>AI41*(Inputs_Summary!$E73/$Y53)</f>
        <v>0</v>
      </c>
      <c r="N41" s="102">
        <f>AJ41*(Inputs_Summary!$E73/$Y53)</f>
        <v>2841.6795292780694</v>
      </c>
      <c r="O41" s="102">
        <f>AK41*(Inputs_Summary!$E73/$Y53)</f>
        <v>0</v>
      </c>
      <c r="P41" s="56"/>
      <c r="Q41" s="39">
        <f>G41+N41</f>
        <v>3036.4967547239098</v>
      </c>
      <c r="R41" s="5">
        <f>SUM(K41:L41)</f>
        <v>1214.8026989842715</v>
      </c>
      <c r="T41" s="5">
        <f t="shared" ref="T41:T43" si="11">SUM(C41:O41)</f>
        <v>87302.596651101427</v>
      </c>
      <c r="Y41" s="39">
        <v>66168</v>
      </c>
      <c r="Z41" s="39">
        <v>0</v>
      </c>
      <c r="AA41" s="39">
        <v>0</v>
      </c>
      <c r="AB41" s="39">
        <v>0</v>
      </c>
      <c r="AC41" s="39">
        <v>191</v>
      </c>
      <c r="AD41" s="39">
        <v>8802</v>
      </c>
      <c r="AE41" s="39">
        <v>4137</v>
      </c>
      <c r="AF41" s="39">
        <v>2317</v>
      </c>
      <c r="AG41" s="39">
        <v>182</v>
      </c>
      <c r="AH41" s="39">
        <v>1009</v>
      </c>
      <c r="AI41" s="39">
        <v>0</v>
      </c>
      <c r="AJ41" s="39">
        <v>2786</v>
      </c>
      <c r="AK41" s="39">
        <f t="shared" ref="AK41" si="12">AK$39*8760*O11/1000</f>
        <v>0</v>
      </c>
    </row>
    <row r="42" spans="2:42" ht="15" x14ac:dyDescent="0.25">
      <c r="B42" s="3">
        <v>2040</v>
      </c>
      <c r="C42" s="102">
        <f>Y42*(Inputs_Summary!$E74/$Y54)</f>
        <v>70966.716127040185</v>
      </c>
      <c r="D42" s="102">
        <f>Z42*(Inputs_Summary!$E74/$Y54)</f>
        <v>0</v>
      </c>
      <c r="E42" s="102">
        <f>AA42*(Inputs_Summary!$E74/$Y54)</f>
        <v>0</v>
      </c>
      <c r="F42" s="102">
        <f>AB42*(Inputs_Summary!$E74/$Y54)</f>
        <v>0</v>
      </c>
      <c r="G42" s="102">
        <f>AC42*(Inputs_Summary!$E74/$Y54)</f>
        <v>195.82704295884693</v>
      </c>
      <c r="H42" s="102">
        <f>AD42*(Inputs_Summary!$E74/$Y54)</f>
        <v>0</v>
      </c>
      <c r="I42" s="102">
        <f>AE42*(Inputs_Summary!$E74/$Y54)</f>
        <v>4225.8471629273226</v>
      </c>
      <c r="J42" s="102">
        <f>AF42*(Inputs_Summary!$E74/$Y54)</f>
        <v>2377.0390291466188</v>
      </c>
      <c r="K42" s="102">
        <f>AG42*(Inputs_Summary!$E74/$Y54)</f>
        <v>193.81856046696132</v>
      </c>
      <c r="L42" s="102">
        <f>AH42*(Inputs_Summary!$E74/$Y54)</f>
        <v>1029.3472770913747</v>
      </c>
      <c r="M42" s="102">
        <f>AI42*(Inputs_Summary!$E74/$Y54)</f>
        <v>0</v>
      </c>
      <c r="N42" s="102">
        <f>AJ42*(Inputs_Summary!$E74/$Y54)</f>
        <v>2434.2807801653585</v>
      </c>
      <c r="O42" s="102">
        <f>AK42*(Inputs_Summary!$E74/$Y54)</f>
        <v>0</v>
      </c>
      <c r="P42" s="56"/>
      <c r="Q42" s="39">
        <f>G42+N42</f>
        <v>2630.1078231242054</v>
      </c>
      <c r="R42" s="5">
        <f>SUM(K42:L42)</f>
        <v>1223.1658375583361</v>
      </c>
      <c r="T42" s="5">
        <f t="shared" si="11"/>
        <v>81422.875979796663</v>
      </c>
      <c r="Y42" s="39">
        <v>70667</v>
      </c>
      <c r="Z42" s="39">
        <v>0</v>
      </c>
      <c r="AA42" s="39">
        <v>0</v>
      </c>
      <c r="AB42" s="39">
        <v>0</v>
      </c>
      <c r="AC42" s="39">
        <v>195</v>
      </c>
      <c r="AD42" s="39">
        <v>0</v>
      </c>
      <c r="AE42" s="39">
        <v>4208</v>
      </c>
      <c r="AF42" s="39">
        <v>2367</v>
      </c>
      <c r="AG42" s="39">
        <v>193</v>
      </c>
      <c r="AH42" s="39">
        <v>1025</v>
      </c>
      <c r="AI42" s="39">
        <v>0</v>
      </c>
      <c r="AJ42" s="39">
        <v>2424</v>
      </c>
      <c r="AK42" s="39">
        <f t="shared" ref="AK42" si="13">AK$39*8760*O12/1000</f>
        <v>0</v>
      </c>
    </row>
    <row r="43" spans="2:42" ht="15" x14ac:dyDescent="0.25">
      <c r="B43" s="3">
        <v>2050</v>
      </c>
      <c r="C43" s="102">
        <f>Y43*(Inputs_Summary!$E75/$Y55)</f>
        <v>73021.347487975392</v>
      </c>
      <c r="D43" s="102">
        <f>Z43*(Inputs_Summary!$E75/$Y55)</f>
        <v>0</v>
      </c>
      <c r="E43" s="102">
        <f>AA43*(Inputs_Summary!$E75/$Y55)</f>
        <v>0</v>
      </c>
      <c r="F43" s="102">
        <f>AB43*(Inputs_Summary!$E75/$Y55)</f>
        <v>0</v>
      </c>
      <c r="G43" s="102">
        <f>AC43*(Inputs_Summary!$E75/$Y55)</f>
        <v>193.35585504244119</v>
      </c>
      <c r="H43" s="102">
        <f>AD43*(Inputs_Summary!$E75/$Y55)</f>
        <v>0</v>
      </c>
      <c r="I43" s="102">
        <f>AE43*(Inputs_Summary!$E75/$Y55)</f>
        <v>0</v>
      </c>
      <c r="J43" s="102">
        <f>AF43*(Inputs_Summary!$E75/$Y55)</f>
        <v>0</v>
      </c>
      <c r="K43" s="102">
        <f>AG43*(Inputs_Summary!$E75/$Y55)</f>
        <v>0</v>
      </c>
      <c r="L43" s="102">
        <f>AH43*(Inputs_Summary!$E75/$Y55)</f>
        <v>0</v>
      </c>
      <c r="M43" s="102">
        <f>AI43*(Inputs_Summary!$E75/$Y55)</f>
        <v>0</v>
      </c>
      <c r="N43" s="102">
        <f>AJ43*(Inputs_Summary!$E75/$Y55)</f>
        <v>2384.382991391788</v>
      </c>
      <c r="O43" s="102">
        <f>AK43*(Inputs_Summary!$E75/$Y55)</f>
        <v>0</v>
      </c>
      <c r="P43" s="56"/>
      <c r="Q43" s="39">
        <f>G43+N43</f>
        <v>2577.7388464342293</v>
      </c>
      <c r="R43" s="5">
        <f>SUM(K43:L43)</f>
        <v>0</v>
      </c>
      <c r="T43" s="5">
        <f t="shared" si="11"/>
        <v>75599.086334409614</v>
      </c>
      <c r="X43" s="39"/>
      <c r="Y43" s="39">
        <v>71754</v>
      </c>
      <c r="Z43" s="39">
        <v>0</v>
      </c>
      <c r="AA43" s="39">
        <v>0</v>
      </c>
      <c r="AB43" s="39">
        <v>0</v>
      </c>
      <c r="AC43" s="39">
        <v>190</v>
      </c>
      <c r="AD43" s="39">
        <v>0</v>
      </c>
      <c r="AE43" s="39">
        <v>0</v>
      </c>
      <c r="AF43" s="39">
        <v>0</v>
      </c>
      <c r="AG43" s="39">
        <v>0</v>
      </c>
      <c r="AH43" s="39">
        <v>0</v>
      </c>
      <c r="AI43" s="39">
        <v>0</v>
      </c>
      <c r="AJ43" s="39">
        <v>2343</v>
      </c>
      <c r="AK43" s="39">
        <f t="shared" ref="AK43" si="14">AK$39*8760*O13/1000</f>
        <v>0</v>
      </c>
    </row>
    <row r="44" spans="2:42" ht="15" x14ac:dyDescent="0.25">
      <c r="Q44" s="5"/>
      <c r="R44" s="5"/>
      <c r="S44" s="5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J44" s="39"/>
      <c r="AK44" s="39"/>
    </row>
    <row r="45" spans="2:42" ht="30" x14ac:dyDescent="0.25">
      <c r="B45" s="43" t="s">
        <v>36</v>
      </c>
      <c r="C45" s="43" t="s">
        <v>0</v>
      </c>
      <c r="D45" s="43" t="s">
        <v>1</v>
      </c>
      <c r="E45" s="43" t="s">
        <v>28</v>
      </c>
      <c r="F45" s="2" t="s">
        <v>29</v>
      </c>
      <c r="G45" s="2" t="s">
        <v>6</v>
      </c>
      <c r="H45" s="43" t="s">
        <v>2</v>
      </c>
      <c r="I45" s="43" t="s">
        <v>3</v>
      </c>
      <c r="J45" s="43" t="s">
        <v>4</v>
      </c>
      <c r="K45" s="43" t="s">
        <v>9</v>
      </c>
      <c r="L45" s="43" t="s">
        <v>8</v>
      </c>
      <c r="M45" s="43" t="s">
        <v>25</v>
      </c>
      <c r="N45" s="43" t="s">
        <v>7</v>
      </c>
      <c r="O45" s="43" t="s">
        <v>89</v>
      </c>
      <c r="P45" s="25"/>
      <c r="Q45" s="43" t="s">
        <v>5</v>
      </c>
      <c r="R45" s="43" t="s">
        <v>91</v>
      </c>
      <c r="T45" s="43" t="s">
        <v>10</v>
      </c>
      <c r="X45" s="39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</row>
    <row r="46" spans="2:42" ht="15" x14ac:dyDescent="0.25">
      <c r="B46" s="3">
        <v>2016</v>
      </c>
      <c r="C46" s="102">
        <f>Y46*(Inputs_Summary!$E72/$Y52)</f>
        <v>0</v>
      </c>
      <c r="D46" s="102">
        <f>Z46*(Inputs_Summary!$E72/$Y52)</f>
        <v>0</v>
      </c>
      <c r="E46" s="102">
        <f>AA46*(Inputs_Summary!$E72/$Y52)</f>
        <v>0</v>
      </c>
      <c r="F46" s="102">
        <f>AB46*(Inputs_Summary!$E72/$Y52)</f>
        <v>0</v>
      </c>
      <c r="G46" s="102">
        <f>AC46*(Inputs_Summary!$E72/$Y52)</f>
        <v>0</v>
      </c>
      <c r="H46" s="102">
        <f>AD46*(Inputs_Summary!$E72/$Y52)</f>
        <v>0</v>
      </c>
      <c r="I46" s="102">
        <f>AE46*(Inputs_Summary!$E72/$Y52)</f>
        <v>0</v>
      </c>
      <c r="J46" s="102">
        <f>AF46*(Inputs_Summary!$E72/$Y52)</f>
        <v>0</v>
      </c>
      <c r="K46" s="102">
        <f>AG46*(Inputs_Summary!$E72/$Y52)</f>
        <v>0</v>
      </c>
      <c r="L46" s="102">
        <f>AH46*(Inputs_Summary!$E72/$Y52)</f>
        <v>0</v>
      </c>
      <c r="M46" s="102">
        <f>AI46*(Inputs_Summary!$E72/$Y52)</f>
        <v>0</v>
      </c>
      <c r="N46" s="102">
        <f>AJ46*(Inputs_Summary!$E72/$Y52)</f>
        <v>0</v>
      </c>
      <c r="O46" s="102">
        <f>AK46*(Inputs_Summary!$E72/$Y52)</f>
        <v>0</v>
      </c>
      <c r="P46" s="56"/>
      <c r="Q46" s="39">
        <f>G46+N46</f>
        <v>0</v>
      </c>
      <c r="R46" s="5">
        <f>SUM(K46:L46)</f>
        <v>0</v>
      </c>
      <c r="T46" s="5">
        <f>SUM(C46:O46)</f>
        <v>0</v>
      </c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</row>
    <row r="47" spans="2:42" ht="15" x14ac:dyDescent="0.25">
      <c r="B47" s="3">
        <v>2030</v>
      </c>
      <c r="C47" s="102">
        <f>Y47*(Inputs_Summary!$E73/$Y53)</f>
        <v>0</v>
      </c>
      <c r="D47" s="102">
        <f>Z47*(Inputs_Summary!$E73/$Y53)</f>
        <v>0</v>
      </c>
      <c r="E47" s="102">
        <f>AA47*(Inputs_Summary!$E73/$Y53)</f>
        <v>20086.573930392326</v>
      </c>
      <c r="F47" s="102">
        <f>AB47*(Inputs_Summary!$E73/$Y53)</f>
        <v>835.36810282797524</v>
      </c>
      <c r="G47" s="102">
        <f>AC47*(Inputs_Summary!$E73/$Y53)</f>
        <v>0</v>
      </c>
      <c r="H47" s="102">
        <f>AD47*(Inputs_Summary!$E73/$Y53)</f>
        <v>47131.488761263834</v>
      </c>
      <c r="I47" s="102">
        <f>AE47*(Inputs_Summary!$E73/$Y53)</f>
        <v>0</v>
      </c>
      <c r="J47" s="102">
        <f>AF47*(Inputs_Summary!$E73/$Y53)</f>
        <v>22333.601928597491</v>
      </c>
      <c r="K47" s="102">
        <f>AG47*(Inputs_Summary!$E73/$Y53)</f>
        <v>1729.8953631211793</v>
      </c>
      <c r="L47" s="102">
        <f>AH47*(Inputs_Summary!$E73/$Y53)</f>
        <v>0</v>
      </c>
      <c r="M47" s="102">
        <f>AI47*(Inputs_Summary!$E73/$Y53)</f>
        <v>63.239099359382742</v>
      </c>
      <c r="N47" s="102">
        <f>AJ47*(Inputs_Summary!$E73/$Y53)</f>
        <v>0</v>
      </c>
      <c r="O47" s="102">
        <f>AK47*(Inputs_Summary!$E73/$Y53)</f>
        <v>0</v>
      </c>
      <c r="P47" s="56"/>
      <c r="Q47" s="39">
        <f>G47+N47</f>
        <v>0</v>
      </c>
      <c r="R47" s="5">
        <f>SUM(K47:L47)</f>
        <v>1729.8953631211793</v>
      </c>
      <c r="T47" s="5">
        <f t="shared" ref="T47:T49" si="15">SUM(C47:O47)</f>
        <v>92180.167185562183</v>
      </c>
      <c r="Y47" s="39">
        <v>0</v>
      </c>
      <c r="Z47" s="39">
        <v>0</v>
      </c>
      <c r="AA47" s="39">
        <v>19693</v>
      </c>
      <c r="AB47" s="39">
        <v>819</v>
      </c>
      <c r="AC47" s="39">
        <v>0</v>
      </c>
      <c r="AD47" s="39">
        <v>46208</v>
      </c>
      <c r="AE47" s="39">
        <v>0</v>
      </c>
      <c r="AF47" s="39">
        <v>21896</v>
      </c>
      <c r="AG47" s="39">
        <v>1696</v>
      </c>
      <c r="AH47" s="39">
        <v>0</v>
      </c>
      <c r="AI47" s="39">
        <v>62</v>
      </c>
      <c r="AJ47" s="39">
        <v>0</v>
      </c>
      <c r="AK47" s="39">
        <f t="shared" ref="AK47" si="16">AK$45*8760*O17/1000</f>
        <v>0</v>
      </c>
    </row>
    <row r="48" spans="2:42" ht="15" x14ac:dyDescent="0.25">
      <c r="B48" s="3">
        <v>2040</v>
      </c>
      <c r="C48" s="102">
        <f>Y48*(Inputs_Summary!$E74/$Y54)</f>
        <v>26304.090954979885</v>
      </c>
      <c r="D48" s="102">
        <f>Z48*(Inputs_Summary!$E74/$Y54)</f>
        <v>0</v>
      </c>
      <c r="E48" s="102">
        <f>AA48*(Inputs_Summary!$E74/$Y54)</f>
        <v>66847.318536182793</v>
      </c>
      <c r="F48" s="102">
        <f>AB48*(Inputs_Summary!$E74/$Y54)</f>
        <v>809.41844422990062</v>
      </c>
      <c r="G48" s="102">
        <f>AC48*(Inputs_Summary!$E74/$Y54)</f>
        <v>0</v>
      </c>
      <c r="H48" s="102">
        <f>AD48*(Inputs_Summary!$E74/$Y54)</f>
        <v>124821.16142321497</v>
      </c>
      <c r="I48" s="102">
        <f>AE48*(Inputs_Summary!$E74/$Y54)</f>
        <v>0</v>
      </c>
      <c r="J48" s="102">
        <f>AF48*(Inputs_Summary!$E74/$Y54)</f>
        <v>55349.760511383625</v>
      </c>
      <c r="K48" s="102">
        <f>AG48*(Inputs_Summary!$E74/$Y54)</f>
        <v>1754.4094566620799</v>
      </c>
      <c r="L48" s="102">
        <f>AH48*(Inputs_Summary!$E74/$Y54)</f>
        <v>0</v>
      </c>
      <c r="M48" s="102">
        <f>AI48*(Inputs_Summary!$E74/$Y54)</f>
        <v>121.51319075907938</v>
      </c>
      <c r="N48" s="102">
        <f>AJ48*(Inputs_Summary!$E74/$Y54)</f>
        <v>0</v>
      </c>
      <c r="O48" s="102">
        <f>AK48*(Inputs_Summary!$E74/$Y54)</f>
        <v>0</v>
      </c>
      <c r="P48" s="56"/>
      <c r="Q48" s="39">
        <f>G48+N48</f>
        <v>0</v>
      </c>
      <c r="R48" s="5">
        <f>SUM(K48:L48)</f>
        <v>1754.4094566620799</v>
      </c>
      <c r="T48" s="5">
        <f t="shared" si="15"/>
        <v>276007.67251741234</v>
      </c>
      <c r="Y48" s="39">
        <v>26193</v>
      </c>
      <c r="Z48" s="39">
        <v>0</v>
      </c>
      <c r="AA48" s="39">
        <v>66565</v>
      </c>
      <c r="AB48" s="39">
        <v>806</v>
      </c>
      <c r="AC48" s="39">
        <v>0</v>
      </c>
      <c r="AD48" s="39">
        <v>124294</v>
      </c>
      <c r="AE48" s="39">
        <v>0</v>
      </c>
      <c r="AF48" s="39">
        <v>55116</v>
      </c>
      <c r="AG48" s="39">
        <v>1747</v>
      </c>
      <c r="AH48" s="39">
        <v>0</v>
      </c>
      <c r="AI48" s="39">
        <v>121</v>
      </c>
      <c r="AJ48" s="39">
        <v>0</v>
      </c>
      <c r="AK48" s="39">
        <f t="shared" ref="AK48" si="17">AK$45*8760*O18/1000</f>
        <v>0</v>
      </c>
    </row>
    <row r="49" spans="1:37" ht="15" x14ac:dyDescent="0.25">
      <c r="B49" s="3">
        <v>2050</v>
      </c>
      <c r="C49" s="102">
        <f>Y49*(Inputs_Summary!$E75/$Y55)</f>
        <v>56813.038523444025</v>
      </c>
      <c r="D49" s="102">
        <f>Z49*(Inputs_Summary!$E75/$Y55)</f>
        <v>0</v>
      </c>
      <c r="E49" s="102">
        <f>AA49*(Inputs_Summary!$E75/$Y55)</f>
        <v>123658.19293640586</v>
      </c>
      <c r="F49" s="102">
        <f>AB49*(Inputs_Summary!$E75/$Y55)</f>
        <v>1286.325267229714</v>
      </c>
      <c r="G49" s="102">
        <f>AC49*(Inputs_Summary!$E75/$Y55)</f>
        <v>15482.715676924739</v>
      </c>
      <c r="H49" s="102">
        <f>AD49*(Inputs_Summary!$E75/$Y55)</f>
        <v>159853.39133795589</v>
      </c>
      <c r="I49" s="102">
        <f>AE49*(Inputs_Summary!$E75/$Y55)</f>
        <v>0</v>
      </c>
      <c r="J49" s="102">
        <f>AF49*(Inputs_Summary!$E75/$Y55)</f>
        <v>73862.954288607492</v>
      </c>
      <c r="K49" s="102">
        <f>AG49*(Inputs_Summary!$E75/$Y55)</f>
        <v>1792.1034775249418</v>
      </c>
      <c r="L49" s="102">
        <f>AH49*(Inputs_Summary!$E75/$Y55)</f>
        <v>0</v>
      </c>
      <c r="M49" s="102">
        <f>AI49*(Inputs_Summary!$E75/$Y55)</f>
        <v>121.1018250002658</v>
      </c>
      <c r="N49" s="102">
        <f>AJ49*(Inputs_Summary!$E75/$Y55)</f>
        <v>0</v>
      </c>
      <c r="O49" s="102">
        <f>AK49*(Inputs_Summary!$E75/$Y55)</f>
        <v>0</v>
      </c>
      <c r="P49" s="56"/>
      <c r="Q49" s="39">
        <f>G49+N49</f>
        <v>15482.715676924739</v>
      </c>
      <c r="R49" s="5">
        <f>SUM(K49:L49)</f>
        <v>1792.1034775249418</v>
      </c>
      <c r="T49" s="5">
        <f t="shared" si="15"/>
        <v>432869.82333309297</v>
      </c>
      <c r="Y49" s="39">
        <v>55827</v>
      </c>
      <c r="Z49" s="39">
        <v>0</v>
      </c>
      <c r="AA49" s="39">
        <v>121512</v>
      </c>
      <c r="AB49" s="39">
        <v>1264</v>
      </c>
      <c r="AC49" s="39">
        <v>15214</v>
      </c>
      <c r="AD49" s="39">
        <v>157079</v>
      </c>
      <c r="AE49" s="39">
        <v>0</v>
      </c>
      <c r="AF49" s="39">
        <v>72581</v>
      </c>
      <c r="AG49" s="39">
        <v>1761</v>
      </c>
      <c r="AH49" s="39">
        <v>0</v>
      </c>
      <c r="AI49" s="39">
        <v>119</v>
      </c>
      <c r="AJ49" s="39">
        <v>0</v>
      </c>
      <c r="AK49" s="39">
        <f t="shared" ref="AK49" si="18">AK$45*8760*O19/1000</f>
        <v>0</v>
      </c>
    </row>
    <row r="50" spans="1:37" ht="15" x14ac:dyDescent="0.25"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</row>
    <row r="51" spans="1:37" ht="30" x14ac:dyDescent="0.25">
      <c r="B51" s="43" t="s">
        <v>13</v>
      </c>
      <c r="C51" s="43" t="s">
        <v>0</v>
      </c>
      <c r="D51" s="43" t="s">
        <v>1</v>
      </c>
      <c r="E51" s="43" t="s">
        <v>28</v>
      </c>
      <c r="F51" s="2" t="s">
        <v>29</v>
      </c>
      <c r="G51" s="2" t="s">
        <v>6</v>
      </c>
      <c r="H51" s="43" t="s">
        <v>2</v>
      </c>
      <c r="I51" s="43" t="s">
        <v>3</v>
      </c>
      <c r="J51" s="43" t="s">
        <v>4</v>
      </c>
      <c r="K51" s="43" t="s">
        <v>9</v>
      </c>
      <c r="L51" s="43" t="s">
        <v>8</v>
      </c>
      <c r="M51" s="43" t="s">
        <v>25</v>
      </c>
      <c r="N51" s="43" t="s">
        <v>7</v>
      </c>
      <c r="O51" s="43" t="s">
        <v>89</v>
      </c>
      <c r="P51" s="25"/>
      <c r="Q51" s="43" t="s">
        <v>5</v>
      </c>
      <c r="R51" s="43" t="s">
        <v>91</v>
      </c>
      <c r="T51" s="43" t="s">
        <v>10</v>
      </c>
      <c r="U51" s="43"/>
      <c r="V51" s="43"/>
      <c r="W51" s="43" t="s">
        <v>16</v>
      </c>
      <c r="X51" s="43" t="s">
        <v>15</v>
      </c>
    </row>
    <row r="52" spans="1:37" ht="15" x14ac:dyDescent="0.25">
      <c r="A52" s="15">
        <f>C52-C46</f>
        <v>194808.80434990322</v>
      </c>
      <c r="B52" s="3">
        <v>2016</v>
      </c>
      <c r="C52" s="50">
        <f>C34+C40+C46</f>
        <v>194808.80434990322</v>
      </c>
      <c r="D52" s="50">
        <f t="shared" ref="D52:O55" si="19">D34+D40+D46</f>
        <v>14743.87884401034</v>
      </c>
      <c r="E52" s="50">
        <f t="shared" si="19"/>
        <v>756.07675598824017</v>
      </c>
      <c r="F52" s="50">
        <f t="shared" si="19"/>
        <v>2024.3136712665919</v>
      </c>
      <c r="G52" s="50">
        <f t="shared" si="19"/>
        <v>15799.124268819065</v>
      </c>
      <c r="H52" s="50">
        <f t="shared" si="19"/>
        <v>4022.2162852660199</v>
      </c>
      <c r="I52" s="50">
        <f t="shared" si="19"/>
        <v>827.66992563012559</v>
      </c>
      <c r="J52" s="50">
        <f t="shared" si="19"/>
        <v>2639.0862346009021</v>
      </c>
      <c r="K52" s="50">
        <f t="shared" si="19"/>
        <v>0</v>
      </c>
      <c r="L52" s="50">
        <f t="shared" si="19"/>
        <v>1583.7347303540462</v>
      </c>
      <c r="M52" s="50">
        <f t="shared" si="19"/>
        <v>0</v>
      </c>
      <c r="N52" s="50">
        <f t="shared" si="19"/>
        <v>2994.3929759978951</v>
      </c>
      <c r="O52" s="50">
        <f t="shared" si="19"/>
        <v>0</v>
      </c>
      <c r="P52" s="56"/>
      <c r="Q52" s="39">
        <f>G52+N52</f>
        <v>18793.517244816961</v>
      </c>
      <c r="R52" s="5">
        <f>SUM(K52:L52)</f>
        <v>1583.7347303540462</v>
      </c>
      <c r="T52" s="5">
        <f>SUM(C52:O52)</f>
        <v>240199.29804183645</v>
      </c>
      <c r="W52" s="18">
        <f>SUM(G52:L52)</f>
        <v>24871.831444670155</v>
      </c>
      <c r="X52" s="23">
        <f>W52/Inputs_Summary!F72</f>
        <v>0.10273922781756209</v>
      </c>
      <c r="Y52" s="39">
        <v>240333.53100000005</v>
      </c>
      <c r="Z52" s="39"/>
    </row>
    <row r="53" spans="1:37" ht="15" x14ac:dyDescent="0.25">
      <c r="A53" s="15">
        <f t="shared" ref="A53:A55" si="20">C53-C47</f>
        <v>197197.87154107908</v>
      </c>
      <c r="B53" s="3">
        <v>2030</v>
      </c>
      <c r="C53" s="50">
        <f t="shared" ref="C53:N55" si="21">C35+C41+C47</f>
        <v>197197.87154107908</v>
      </c>
      <c r="D53" s="50">
        <f t="shared" si="21"/>
        <v>14610.27192296449</v>
      </c>
      <c r="E53" s="50">
        <f t="shared" si="21"/>
        <v>22310.142262706104</v>
      </c>
      <c r="F53" s="50">
        <f t="shared" si="21"/>
        <v>948.58649039074112</v>
      </c>
      <c r="G53" s="50">
        <f t="shared" si="21"/>
        <v>12772.258099648236</v>
      </c>
      <c r="H53" s="50">
        <f t="shared" si="21"/>
        <v>60296.441268224371</v>
      </c>
      <c r="I53" s="50">
        <f t="shared" si="21"/>
        <v>5058.1079632770807</v>
      </c>
      <c r="J53" s="50">
        <f t="shared" si="21"/>
        <v>27320.310908726882</v>
      </c>
      <c r="K53" s="50">
        <f t="shared" si="21"/>
        <v>1915.5327193051739</v>
      </c>
      <c r="L53" s="50">
        <f t="shared" si="21"/>
        <v>2606.0628848906917</v>
      </c>
      <c r="M53" s="50">
        <f t="shared" si="21"/>
        <v>63.239099359382742</v>
      </c>
      <c r="N53" s="50">
        <f t="shared" si="21"/>
        <v>5049.9480794887731</v>
      </c>
      <c r="O53" s="50">
        <f t="shared" si="19"/>
        <v>0</v>
      </c>
      <c r="P53" s="56"/>
      <c r="Q53" s="39">
        <f>G53+N53</f>
        <v>17822.206179137007</v>
      </c>
      <c r="R53" s="5">
        <f>SUM(K53:L53)</f>
        <v>4521.5956041958652</v>
      </c>
      <c r="T53" s="5">
        <f t="shared" ref="T53:T55" si="22">SUM(C53:O53)</f>
        <v>350148.77324006101</v>
      </c>
      <c r="W53" s="18">
        <f>SUM(G53:L53)</f>
        <v>109968.71384407245</v>
      </c>
      <c r="X53" s="23">
        <f>W53/Inputs_Summary!F73</f>
        <v>0.32011572228194629</v>
      </c>
      <c r="Y53" s="39">
        <v>336796.9534</v>
      </c>
      <c r="AA53" s="39"/>
    </row>
    <row r="54" spans="1:37" ht="15" x14ac:dyDescent="0.25">
      <c r="A54" s="15">
        <f t="shared" si="20"/>
        <v>112894.79238639821</v>
      </c>
      <c r="B54" s="3">
        <v>2040</v>
      </c>
      <c r="C54" s="50">
        <f t="shared" si="21"/>
        <v>139198.8833413781</v>
      </c>
      <c r="D54" s="50">
        <f t="shared" si="21"/>
        <v>14581.582891089525</v>
      </c>
      <c r="E54" s="50">
        <f t="shared" si="21"/>
        <v>69162.094608080952</v>
      </c>
      <c r="F54" s="50">
        <f t="shared" si="21"/>
        <v>893.77470888909625</v>
      </c>
      <c r="G54" s="50">
        <f t="shared" si="21"/>
        <v>13058.14892099429</v>
      </c>
      <c r="H54" s="50">
        <f t="shared" si="21"/>
        <v>124821.16142321497</v>
      </c>
      <c r="I54" s="50">
        <f t="shared" si="21"/>
        <v>5071.4182920111643</v>
      </c>
      <c r="J54" s="50">
        <f t="shared" si="21"/>
        <v>58503.078023644033</v>
      </c>
      <c r="K54" s="50">
        <f t="shared" si="21"/>
        <v>1948.2280171290413</v>
      </c>
      <c r="L54" s="50">
        <f t="shared" si="21"/>
        <v>2717.4768115212296</v>
      </c>
      <c r="M54" s="50">
        <f t="shared" si="21"/>
        <v>121.51319075907938</v>
      </c>
      <c r="N54" s="50">
        <f t="shared" si="21"/>
        <v>4325.2670462756596</v>
      </c>
      <c r="O54" s="50">
        <f t="shared" si="19"/>
        <v>0</v>
      </c>
      <c r="P54" s="56"/>
      <c r="Q54" s="39">
        <f>G54+N54</f>
        <v>17383.41596726995</v>
      </c>
      <c r="R54" s="5">
        <f>SUM(K54:L54)</f>
        <v>4665.7048286502704</v>
      </c>
      <c r="T54" s="5">
        <f t="shared" si="22"/>
        <v>434402.62727498717</v>
      </c>
      <c r="W54" s="18">
        <f>SUM(G54:L54)</f>
        <v>206119.51148851469</v>
      </c>
      <c r="X54" s="23">
        <f>W54/Inputs_Summary!F74</f>
        <v>0.4811031682780067</v>
      </c>
      <c r="Y54" s="39">
        <v>426621.59289999999</v>
      </c>
      <c r="AB54" s="39"/>
      <c r="AD54" s="39"/>
    </row>
    <row r="55" spans="1:37" ht="15" x14ac:dyDescent="0.25">
      <c r="A55" s="15">
        <f t="shared" si="20"/>
        <v>73021.347487975378</v>
      </c>
      <c r="B55" s="3">
        <v>2050</v>
      </c>
      <c r="C55" s="50">
        <f t="shared" si="21"/>
        <v>129834.38601141941</v>
      </c>
      <c r="D55" s="50">
        <f t="shared" si="21"/>
        <v>0</v>
      </c>
      <c r="E55" s="50">
        <f t="shared" si="21"/>
        <v>126104.65333389022</v>
      </c>
      <c r="F55" s="50">
        <f t="shared" si="21"/>
        <v>1286.325267229714</v>
      </c>
      <c r="G55" s="50">
        <f t="shared" si="21"/>
        <v>28506.759007625595</v>
      </c>
      <c r="H55" s="50">
        <f t="shared" si="21"/>
        <v>159853.39133795589</v>
      </c>
      <c r="I55" s="50">
        <f t="shared" si="21"/>
        <v>0</v>
      </c>
      <c r="J55" s="50">
        <f t="shared" si="21"/>
        <v>73862.954288607492</v>
      </c>
      <c r="K55" s="50">
        <f t="shared" si="21"/>
        <v>1792.1034775249418</v>
      </c>
      <c r="L55" s="50">
        <f t="shared" si="21"/>
        <v>1776.8385416005385</v>
      </c>
      <c r="M55" s="50">
        <f t="shared" si="21"/>
        <v>121.1018250002658</v>
      </c>
      <c r="N55" s="50">
        <f t="shared" si="21"/>
        <v>3790.7924212268076</v>
      </c>
      <c r="O55" s="50">
        <f t="shared" si="19"/>
        <v>0</v>
      </c>
      <c r="P55" s="56"/>
      <c r="Q55" s="39">
        <f>G55+N55</f>
        <v>32297.551428852403</v>
      </c>
      <c r="R55" s="5">
        <f>SUM(K55:L55)</f>
        <v>3568.9420191254803</v>
      </c>
      <c r="T55" s="5">
        <f t="shared" si="22"/>
        <v>526929.3055120809</v>
      </c>
      <c r="W55" s="18">
        <f>SUM(G55:L55)</f>
        <v>265792.04665331449</v>
      </c>
      <c r="X55" s="23">
        <f>W55/Inputs_Summary!F75</f>
        <v>0.50961069917941115</v>
      </c>
      <c r="Y55" s="39">
        <v>512506.9007</v>
      </c>
    </row>
    <row r="57" spans="1:37" ht="15" x14ac:dyDescent="0.25">
      <c r="B57" s="3">
        <v>2016</v>
      </c>
      <c r="C57" s="23">
        <f t="shared" ref="C57:O60" si="23">IFERROR(C52/$T52,0)</f>
        <v>0.81102986535777721</v>
      </c>
      <c r="D57" s="23">
        <f t="shared" si="23"/>
        <v>6.1381856500855973E-2</v>
      </c>
      <c r="E57" s="23">
        <f t="shared" si="23"/>
        <v>3.1477059348297984E-3</v>
      </c>
      <c r="F57" s="23">
        <f t="shared" si="23"/>
        <v>8.4276419114014609E-3</v>
      </c>
      <c r="G57" s="23">
        <f t="shared" si="23"/>
        <v>6.5775064280442941E-2</v>
      </c>
      <c r="H57" s="23">
        <f t="shared" si="23"/>
        <v>1.6745329058228366E-2</v>
      </c>
      <c r="I57" s="23">
        <f t="shared" si="23"/>
        <v>3.445763298966707E-3</v>
      </c>
      <c r="J57" s="23">
        <f t="shared" si="23"/>
        <v>1.0987068888691099E-2</v>
      </c>
      <c r="K57" s="23">
        <f t="shared" si="23"/>
        <v>0</v>
      </c>
      <c r="L57" s="23">
        <f t="shared" si="23"/>
        <v>6.5934194781793283E-3</v>
      </c>
      <c r="M57" s="23">
        <f t="shared" si="23"/>
        <v>0</v>
      </c>
      <c r="N57" s="23">
        <f t="shared" si="23"/>
        <v>1.2466285290627077E-2</v>
      </c>
      <c r="O57" s="23">
        <f t="shared" si="23"/>
        <v>0</v>
      </c>
      <c r="P57" s="26"/>
      <c r="Q57" s="7">
        <f t="shared" ref="Q57:R60" si="24">Q52/$T52</f>
        <v>7.8241349571070026E-2</v>
      </c>
      <c r="R57" s="7">
        <f t="shared" si="24"/>
        <v>6.5934194781793283E-3</v>
      </c>
      <c r="T57" s="8">
        <f>SUM(C57:O57)</f>
        <v>0.99999999999999989</v>
      </c>
    </row>
    <row r="58" spans="1:37" ht="15" x14ac:dyDescent="0.25">
      <c r="B58" s="3">
        <v>2030</v>
      </c>
      <c r="C58" s="23">
        <f t="shared" si="23"/>
        <v>0.56318309990445337</v>
      </c>
      <c r="D58" s="23">
        <f t="shared" si="23"/>
        <v>4.1725897788445855E-2</v>
      </c>
      <c r="E58" s="23">
        <f t="shared" si="23"/>
        <v>6.3716180000466069E-2</v>
      </c>
      <c r="F58" s="23">
        <f t="shared" si="23"/>
        <v>2.7090955699004917E-3</v>
      </c>
      <c r="G58" s="23">
        <f t="shared" si="23"/>
        <v>3.6476660996015001E-2</v>
      </c>
      <c r="H58" s="23">
        <f t="shared" si="23"/>
        <v>0.17220234904802964</v>
      </c>
      <c r="I58" s="23">
        <f t="shared" si="23"/>
        <v>1.4445596700146815E-2</v>
      </c>
      <c r="J58" s="23">
        <f t="shared" si="23"/>
        <v>7.8024865419123304E-2</v>
      </c>
      <c r="K58" s="23">
        <f t="shared" si="23"/>
        <v>5.4706252476055088E-3</v>
      </c>
      <c r="L58" s="23">
        <f t="shared" si="23"/>
        <v>7.4427303022535007E-3</v>
      </c>
      <c r="M58" s="23">
        <f t="shared" si="23"/>
        <v>1.8060637132669944E-4</v>
      </c>
      <c r="N58" s="23">
        <f t="shared" si="23"/>
        <v>1.4422292652233692E-2</v>
      </c>
      <c r="O58" s="23">
        <f t="shared" si="23"/>
        <v>0</v>
      </c>
      <c r="P58" s="26"/>
      <c r="Q58" s="7">
        <f t="shared" si="24"/>
        <v>5.0898953648248688E-2</v>
      </c>
      <c r="R58" s="7">
        <f t="shared" si="24"/>
        <v>1.2913355549859009E-2</v>
      </c>
      <c r="T58" s="8">
        <f t="shared" ref="T58:T60" si="25">SUM(C58:O58)</f>
        <v>1</v>
      </c>
    </row>
    <row r="59" spans="1:37" ht="15" x14ac:dyDescent="0.25">
      <c r="B59" s="3">
        <v>2040</v>
      </c>
      <c r="C59" s="23">
        <f t="shared" si="23"/>
        <v>0.32043748034991026</v>
      </c>
      <c r="D59" s="23">
        <f t="shared" si="23"/>
        <v>3.3566976752788004E-2</v>
      </c>
      <c r="E59" s="23">
        <f t="shared" si="23"/>
        <v>0.15921196204989732</v>
      </c>
      <c r="F59" s="23">
        <f t="shared" si="23"/>
        <v>2.0574799800262616E-3</v>
      </c>
      <c r="G59" s="23">
        <f t="shared" si="23"/>
        <v>3.0060013685709531E-2</v>
      </c>
      <c r="H59" s="23">
        <f t="shared" si="23"/>
        <v>0.28733979397458898</v>
      </c>
      <c r="I59" s="23">
        <f t="shared" si="23"/>
        <v>1.1674465055205193E-2</v>
      </c>
      <c r="J59" s="23">
        <f t="shared" si="23"/>
        <v>0.13467477945664033</v>
      </c>
      <c r="K59" s="23">
        <f t="shared" si="23"/>
        <v>4.4848440014055597E-3</v>
      </c>
      <c r="L59" s="23">
        <f t="shared" si="23"/>
        <v>6.2556638493832181E-3</v>
      </c>
      <c r="M59" s="23">
        <f t="shared" si="23"/>
        <v>2.7972480627323337E-4</v>
      </c>
      <c r="N59" s="23">
        <f t="shared" si="23"/>
        <v>9.9568160381720318E-3</v>
      </c>
      <c r="O59" s="23">
        <f t="shared" si="23"/>
        <v>0</v>
      </c>
      <c r="P59" s="26"/>
      <c r="Q59" s="7">
        <f t="shared" si="24"/>
        <v>4.0016829723881563E-2</v>
      </c>
      <c r="R59" s="7">
        <f t="shared" si="24"/>
        <v>1.0740507850788776E-2</v>
      </c>
      <c r="T59" s="8">
        <f t="shared" si="25"/>
        <v>1</v>
      </c>
    </row>
    <row r="60" spans="1:37" ht="15" x14ac:dyDescent="0.25">
      <c r="B60" s="3">
        <v>2050</v>
      </c>
      <c r="C60" s="23">
        <f t="shared" si="23"/>
        <v>0.24639811195401942</v>
      </c>
      <c r="D60" s="23">
        <f t="shared" si="23"/>
        <v>0</v>
      </c>
      <c r="E60" s="23">
        <f t="shared" si="23"/>
        <v>0.23931987083417022</v>
      </c>
      <c r="F60" s="23">
        <f t="shared" si="23"/>
        <v>2.4411723807610895E-3</v>
      </c>
      <c r="G60" s="23">
        <f t="shared" si="23"/>
        <v>5.4099779058449086E-2</v>
      </c>
      <c r="H60" s="23">
        <f t="shared" si="23"/>
        <v>0.30336781360567339</v>
      </c>
      <c r="I60" s="23">
        <f t="shared" si="23"/>
        <v>0</v>
      </c>
      <c r="J60" s="23">
        <f t="shared" si="23"/>
        <v>0.14017621247469986</v>
      </c>
      <c r="K60" s="23">
        <f t="shared" si="23"/>
        <v>3.4010320906014864E-3</v>
      </c>
      <c r="L60" s="23">
        <f t="shared" si="23"/>
        <v>3.372062481652581E-3</v>
      </c>
      <c r="M60" s="23">
        <f t="shared" si="23"/>
        <v>2.2982556432798234E-4</v>
      </c>
      <c r="N60" s="23">
        <f t="shared" si="23"/>
        <v>7.194119555644825E-3</v>
      </c>
      <c r="O60" s="23">
        <f t="shared" si="23"/>
        <v>0</v>
      </c>
      <c r="P60" s="26"/>
      <c r="Q60" s="7">
        <f t="shared" si="24"/>
        <v>6.1293898614093914E-2</v>
      </c>
      <c r="R60" s="7">
        <f t="shared" si="24"/>
        <v>6.7730945722540674E-3</v>
      </c>
      <c r="T60" s="8">
        <f t="shared" si="25"/>
        <v>1</v>
      </c>
    </row>
    <row r="62" spans="1:37" s="9" customFormat="1" ht="21" x14ac:dyDescent="0.35">
      <c r="B62" s="10" t="s">
        <v>12</v>
      </c>
    </row>
    <row r="63" spans="1:37" s="32" customFormat="1" ht="21" x14ac:dyDescent="0.35">
      <c r="B63" s="31"/>
      <c r="P63" s="58"/>
    </row>
    <row r="64" spans="1:37" ht="30" x14ac:dyDescent="0.25">
      <c r="B64" s="43" t="s">
        <v>37</v>
      </c>
      <c r="C64" s="43" t="s">
        <v>0</v>
      </c>
      <c r="D64" s="43" t="s">
        <v>1</v>
      </c>
      <c r="E64" s="43" t="s">
        <v>28</v>
      </c>
      <c r="F64" s="2" t="s">
        <v>29</v>
      </c>
      <c r="G64" s="2" t="s">
        <v>6</v>
      </c>
      <c r="H64" s="43" t="s">
        <v>2</v>
      </c>
      <c r="I64" s="43" t="s">
        <v>3</v>
      </c>
      <c r="J64" s="43" t="s">
        <v>4</v>
      </c>
      <c r="K64" s="43" t="s">
        <v>9</v>
      </c>
      <c r="L64" s="43" t="s">
        <v>8</v>
      </c>
      <c r="M64" s="43" t="s">
        <v>25</v>
      </c>
      <c r="N64" s="43" t="s">
        <v>7</v>
      </c>
      <c r="O64" s="43" t="s">
        <v>89</v>
      </c>
      <c r="P64" s="25"/>
      <c r="Q64" s="43" t="s">
        <v>5</v>
      </c>
      <c r="R64" s="43" t="s">
        <v>91</v>
      </c>
      <c r="T64" s="43"/>
    </row>
    <row r="65" spans="2:20" ht="15" x14ac:dyDescent="0.25">
      <c r="B65" s="3">
        <v>2016</v>
      </c>
      <c r="C65" s="23">
        <f t="shared" ref="C65:O65" si="26">IFERROR(C34/(8.76*C4),0)</f>
        <v>0.61670682155154666</v>
      </c>
      <c r="D65" s="23">
        <f t="shared" si="26"/>
        <v>0.90488773776270071</v>
      </c>
      <c r="E65" s="23">
        <f t="shared" si="26"/>
        <v>0.20327398012747969</v>
      </c>
      <c r="F65" s="23">
        <f t="shared" si="26"/>
        <v>6.7588779038524713E-2</v>
      </c>
      <c r="G65" s="23">
        <f t="shared" si="26"/>
        <v>0.82769756710584552</v>
      </c>
      <c r="H65" s="23">
        <f t="shared" si="26"/>
        <v>0.35157512265710944</v>
      </c>
      <c r="I65" s="23">
        <f t="shared" si="26"/>
        <v>0.47241434111308539</v>
      </c>
      <c r="J65" s="23">
        <f t="shared" si="26"/>
        <v>0.20369543738680201</v>
      </c>
      <c r="K65" s="23">
        <f t="shared" si="26"/>
        <v>0</v>
      </c>
      <c r="L65" s="23">
        <f t="shared" si="26"/>
        <v>0.68481680259532229</v>
      </c>
      <c r="M65" s="23">
        <f t="shared" si="26"/>
        <v>0</v>
      </c>
      <c r="N65" s="23">
        <f t="shared" si="26"/>
        <v>0.21634536847565858</v>
      </c>
      <c r="O65" s="23">
        <f t="shared" si="26"/>
        <v>0</v>
      </c>
      <c r="P65" s="26"/>
      <c r="Q65" s="6">
        <f t="shared" ref="Q65:R68" si="27">IFERROR(Q34/(8.76*Q4),0)</f>
        <v>0.57073122663346065</v>
      </c>
      <c r="R65" s="6">
        <f t="shared" si="27"/>
        <v>0.68481680259532229</v>
      </c>
      <c r="S65" s="5"/>
      <c r="T65" s="5"/>
    </row>
    <row r="66" spans="2:20" ht="15" x14ac:dyDescent="0.25">
      <c r="B66" s="3">
        <v>2030</v>
      </c>
      <c r="C66" s="23">
        <f t="shared" ref="C66:O66" si="28">IFERROR(C35/(8.76*C5),0)</f>
        <v>0.6415419897833432</v>
      </c>
      <c r="D66" s="23">
        <f t="shared" si="28"/>
        <v>0.89668777452278747</v>
      </c>
      <c r="E66" s="23">
        <f t="shared" si="28"/>
        <v>0.59781441687631331</v>
      </c>
      <c r="F66" s="23">
        <f t="shared" si="28"/>
        <v>4.200348867750784E-3</v>
      </c>
      <c r="G66" s="23">
        <f t="shared" si="28"/>
        <v>0.65891735737154755</v>
      </c>
      <c r="H66" s="23">
        <f t="shared" si="28"/>
        <v>0.36598211703581474</v>
      </c>
      <c r="I66" s="23">
        <f t="shared" si="28"/>
        <v>0.47855482833823659</v>
      </c>
      <c r="J66" s="23">
        <f t="shared" si="28"/>
        <v>0.20248491344120931</v>
      </c>
      <c r="K66" s="23">
        <f t="shared" si="28"/>
        <v>0</v>
      </c>
      <c r="L66" s="23">
        <f t="shared" si="28"/>
        <v>0.68186035962813707</v>
      </c>
      <c r="M66" s="23">
        <f t="shared" si="28"/>
        <v>0</v>
      </c>
      <c r="N66" s="23">
        <f t="shared" si="28"/>
        <v>0.15954775375778163</v>
      </c>
      <c r="O66" s="23">
        <f t="shared" si="28"/>
        <v>0</v>
      </c>
      <c r="P66" s="26"/>
      <c r="Q66" s="6">
        <f t="shared" si="27"/>
        <v>0.4490200512503052</v>
      </c>
      <c r="R66" s="6">
        <f t="shared" si="27"/>
        <v>0.68186035962813707</v>
      </c>
      <c r="S66" s="5"/>
      <c r="T66" s="5"/>
    </row>
    <row r="67" spans="2:20" ht="15" x14ac:dyDescent="0.25">
      <c r="B67" s="3">
        <v>2040</v>
      </c>
      <c r="C67" s="23">
        <f t="shared" ref="C67:O67" si="29">IFERROR(C36/(8.76*C6),0)</f>
        <v>0.62484465734584638</v>
      </c>
      <c r="D67" s="23">
        <f t="shared" si="29"/>
        <v>0.89492701987832801</v>
      </c>
      <c r="E67" s="23">
        <f t="shared" si="29"/>
        <v>0.62233594871406361</v>
      </c>
      <c r="F67" s="23">
        <f t="shared" si="29"/>
        <v>9.5818015696853189E-3</v>
      </c>
      <c r="G67" s="23">
        <f t="shared" si="29"/>
        <v>0.6738419386189175</v>
      </c>
      <c r="H67" s="23">
        <f t="shared" si="29"/>
        <v>0</v>
      </c>
      <c r="I67" s="23">
        <f t="shared" si="29"/>
        <v>0.48263192299306029</v>
      </c>
      <c r="J67" s="23">
        <f t="shared" si="29"/>
        <v>0.20371555217388027</v>
      </c>
      <c r="K67" s="23">
        <f t="shared" si="29"/>
        <v>0</v>
      </c>
      <c r="L67" s="23">
        <f t="shared" si="29"/>
        <v>0.72995776879663721</v>
      </c>
      <c r="M67" s="23">
        <f t="shared" si="29"/>
        <v>0</v>
      </c>
      <c r="N67" s="23">
        <f t="shared" si="29"/>
        <v>0.13662405829939753</v>
      </c>
      <c r="O67" s="23">
        <f t="shared" si="29"/>
        <v>0</v>
      </c>
      <c r="P67" s="26"/>
      <c r="Q67" s="6">
        <f t="shared" si="27"/>
        <v>0.44803607245641652</v>
      </c>
      <c r="R67" s="6">
        <f t="shared" si="27"/>
        <v>0.72995776879663721</v>
      </c>
      <c r="S67" s="5"/>
      <c r="T67" s="5"/>
    </row>
    <row r="68" spans="2:20" ht="15" x14ac:dyDescent="0.25">
      <c r="B68" s="3">
        <v>2050</v>
      </c>
      <c r="C68" s="23">
        <f t="shared" ref="C68:O68" si="30">IFERROR(C37/(8.76*C7),0)</f>
        <v>0</v>
      </c>
      <c r="D68" s="23">
        <f t="shared" si="30"/>
        <v>0</v>
      </c>
      <c r="E68" s="23">
        <f t="shared" si="30"/>
        <v>0.65773975761349424</v>
      </c>
      <c r="F68" s="23">
        <f t="shared" si="30"/>
        <v>0</v>
      </c>
      <c r="G68" s="23">
        <f t="shared" si="30"/>
        <v>0.67218464942751655</v>
      </c>
      <c r="H68" s="23">
        <f t="shared" si="30"/>
        <v>0</v>
      </c>
      <c r="I68" s="23">
        <f t="shared" si="30"/>
        <v>0</v>
      </c>
      <c r="J68" s="23">
        <f t="shared" si="30"/>
        <v>0</v>
      </c>
      <c r="K68" s="23">
        <f t="shared" si="30"/>
        <v>0</v>
      </c>
      <c r="L68" s="23">
        <f t="shared" si="30"/>
        <v>0.76831609831211889</v>
      </c>
      <c r="M68" s="23">
        <f t="shared" si="30"/>
        <v>0</v>
      </c>
      <c r="N68" s="23">
        <f t="shared" si="30"/>
        <v>0.10161330485485086</v>
      </c>
      <c r="O68" s="23">
        <f t="shared" si="30"/>
        <v>0</v>
      </c>
      <c r="P68" s="26"/>
      <c r="Q68" s="6">
        <f t="shared" si="27"/>
        <v>0.43235950326502343</v>
      </c>
      <c r="R68" s="6">
        <f t="shared" si="27"/>
        <v>0.76831609831211889</v>
      </c>
      <c r="S68" s="5"/>
      <c r="T68" s="5"/>
    </row>
    <row r="69" spans="2:20" ht="15" x14ac:dyDescent="0.25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28"/>
      <c r="Q69" s="5"/>
      <c r="R69" s="5"/>
      <c r="S69" s="5"/>
      <c r="T69" s="5"/>
    </row>
    <row r="70" spans="2:20" ht="30" x14ac:dyDescent="0.25">
      <c r="B70" s="43" t="s">
        <v>38</v>
      </c>
      <c r="C70" s="43" t="s">
        <v>0</v>
      </c>
      <c r="D70" s="43" t="s">
        <v>1</v>
      </c>
      <c r="E70" s="43" t="s">
        <v>28</v>
      </c>
      <c r="F70" s="2" t="s">
        <v>29</v>
      </c>
      <c r="G70" s="2" t="s">
        <v>6</v>
      </c>
      <c r="H70" s="43" t="s">
        <v>2</v>
      </c>
      <c r="I70" s="43" t="s">
        <v>3</v>
      </c>
      <c r="J70" s="43" t="s">
        <v>4</v>
      </c>
      <c r="K70" s="43" t="s">
        <v>9</v>
      </c>
      <c r="L70" s="43" t="s">
        <v>8</v>
      </c>
      <c r="M70" s="43" t="s">
        <v>25</v>
      </c>
      <c r="N70" s="43" t="s">
        <v>7</v>
      </c>
      <c r="O70" s="43" t="s">
        <v>89</v>
      </c>
      <c r="P70" s="25"/>
      <c r="Q70" s="43" t="s">
        <v>5</v>
      </c>
      <c r="R70" s="43" t="s">
        <v>91</v>
      </c>
      <c r="T70" s="43"/>
    </row>
    <row r="71" spans="2:20" ht="15" x14ac:dyDescent="0.25">
      <c r="B71" s="3">
        <v>2016</v>
      </c>
      <c r="C71" s="23">
        <f t="shared" ref="C71:O71" si="31">IFERROR(C40/(8.76*C10),0)</f>
        <v>0</v>
      </c>
      <c r="D71" s="23">
        <f t="shared" si="31"/>
        <v>0</v>
      </c>
      <c r="E71" s="23">
        <f t="shared" si="31"/>
        <v>0</v>
      </c>
      <c r="F71" s="23">
        <f t="shared" si="31"/>
        <v>0</v>
      </c>
      <c r="G71" s="23">
        <f t="shared" si="31"/>
        <v>0</v>
      </c>
      <c r="H71" s="23">
        <f t="shared" si="31"/>
        <v>0</v>
      </c>
      <c r="I71" s="23">
        <f t="shared" si="31"/>
        <v>0</v>
      </c>
      <c r="J71" s="23">
        <f t="shared" si="31"/>
        <v>0</v>
      </c>
      <c r="K71" s="23">
        <f t="shared" si="31"/>
        <v>0</v>
      </c>
      <c r="L71" s="23">
        <f t="shared" si="31"/>
        <v>0</v>
      </c>
      <c r="M71" s="23">
        <f t="shared" si="31"/>
        <v>0</v>
      </c>
      <c r="N71" s="23">
        <f t="shared" si="31"/>
        <v>0</v>
      </c>
      <c r="O71" s="23">
        <f t="shared" si="31"/>
        <v>0</v>
      </c>
      <c r="P71" s="26"/>
      <c r="Q71" s="7">
        <f t="shared" ref="Q71:R74" si="32">IFERROR(Q40/(8.76*Q10),0)</f>
        <v>0</v>
      </c>
      <c r="R71" s="7">
        <f t="shared" si="32"/>
        <v>0</v>
      </c>
      <c r="S71" s="5"/>
      <c r="T71" s="5"/>
    </row>
    <row r="72" spans="2:20" ht="15" x14ac:dyDescent="0.25">
      <c r="B72" s="3">
        <v>2030</v>
      </c>
      <c r="C72" s="23">
        <f t="shared" ref="C72:O72" si="33">IFERROR(C41/(8.76*C11),0)</f>
        <v>0.8079261143196238</v>
      </c>
      <c r="D72" s="23">
        <f t="shared" si="33"/>
        <v>0</v>
      </c>
      <c r="E72" s="23">
        <f t="shared" si="33"/>
        <v>0</v>
      </c>
      <c r="F72" s="23">
        <f t="shared" si="33"/>
        <v>0</v>
      </c>
      <c r="G72" s="23">
        <f t="shared" si="33"/>
        <v>0.49420909549934139</v>
      </c>
      <c r="H72" s="23">
        <f t="shared" si="33"/>
        <v>0.36602707673211315</v>
      </c>
      <c r="I72" s="23">
        <f t="shared" si="33"/>
        <v>0.56670425786039358</v>
      </c>
      <c r="J72" s="23">
        <f t="shared" si="33"/>
        <v>0.20254041217489283</v>
      </c>
      <c r="K72" s="23">
        <f t="shared" si="33"/>
        <v>0.39983922672524014</v>
      </c>
      <c r="L72" s="23">
        <f t="shared" si="33"/>
        <v>0.76787338675521322</v>
      </c>
      <c r="M72" s="23">
        <f t="shared" si="33"/>
        <v>0</v>
      </c>
      <c r="N72" s="23">
        <f t="shared" si="33"/>
        <v>0.24353801826467472</v>
      </c>
      <c r="O72" s="23">
        <f t="shared" si="33"/>
        <v>0</v>
      </c>
      <c r="P72" s="26"/>
      <c r="Q72" s="7">
        <f t="shared" si="32"/>
        <v>0.25172988353378145</v>
      </c>
      <c r="R72" s="7">
        <f t="shared" si="32"/>
        <v>0.67318498635915214</v>
      </c>
      <c r="S72" s="5"/>
      <c r="T72" s="5"/>
    </row>
    <row r="73" spans="2:20" ht="15" x14ac:dyDescent="0.25">
      <c r="B73" s="3">
        <v>2040</v>
      </c>
      <c r="C73" s="23">
        <f t="shared" ref="C73:O73" si="34">IFERROR(C42/(8.76*C12),0)</f>
        <v>0.84954103420443972</v>
      </c>
      <c r="D73" s="23">
        <f t="shared" si="34"/>
        <v>0</v>
      </c>
      <c r="E73" s="23">
        <f t="shared" si="34"/>
        <v>0</v>
      </c>
      <c r="F73" s="23">
        <f t="shared" si="34"/>
        <v>0</v>
      </c>
      <c r="G73" s="23">
        <f t="shared" si="34"/>
        <v>0.49677078376166145</v>
      </c>
      <c r="H73" s="23">
        <f t="shared" si="34"/>
        <v>0</v>
      </c>
      <c r="I73" s="23">
        <f t="shared" si="34"/>
        <v>0.56753252255268904</v>
      </c>
      <c r="J73" s="23">
        <f t="shared" si="34"/>
        <v>0.2037173328419703</v>
      </c>
      <c r="K73" s="23">
        <f t="shared" si="34"/>
        <v>0.41746049898113491</v>
      </c>
      <c r="L73" s="23">
        <f t="shared" si="34"/>
        <v>0.7680091302499289</v>
      </c>
      <c r="M73" s="23">
        <f t="shared" si="34"/>
        <v>0</v>
      </c>
      <c r="N73" s="23">
        <f t="shared" si="34"/>
        <v>0.20862307343005321</v>
      </c>
      <c r="O73" s="23">
        <f t="shared" si="34"/>
        <v>0</v>
      </c>
      <c r="P73" s="26"/>
      <c r="Q73" s="7">
        <f t="shared" si="32"/>
        <v>0.21803966527095545</v>
      </c>
      <c r="R73" s="7">
        <f t="shared" si="32"/>
        <v>0.67781943385553045</v>
      </c>
      <c r="S73" s="5"/>
      <c r="T73" s="5"/>
    </row>
    <row r="74" spans="2:20" ht="15" x14ac:dyDescent="0.25">
      <c r="B74" s="3">
        <v>2050</v>
      </c>
      <c r="C74" s="23">
        <f t="shared" ref="C74:O74" si="35">IFERROR(C43/(8.76*C13),0)</f>
        <v>0.87413698208729085</v>
      </c>
      <c r="D74" s="23">
        <f t="shared" si="35"/>
        <v>0</v>
      </c>
      <c r="E74" s="23">
        <f t="shared" si="35"/>
        <v>0</v>
      </c>
      <c r="F74" s="23">
        <f t="shared" si="35"/>
        <v>0</v>
      </c>
      <c r="G74" s="23">
        <f t="shared" si="35"/>
        <v>0.49050191537909993</v>
      </c>
      <c r="H74" s="23">
        <f t="shared" si="35"/>
        <v>0</v>
      </c>
      <c r="I74" s="23">
        <f t="shared" si="35"/>
        <v>0</v>
      </c>
      <c r="J74" s="23">
        <f t="shared" si="35"/>
        <v>0</v>
      </c>
      <c r="K74" s="23">
        <f t="shared" si="35"/>
        <v>0</v>
      </c>
      <c r="L74" s="23">
        <f t="shared" si="35"/>
        <v>0</v>
      </c>
      <c r="M74" s="23">
        <f t="shared" si="35"/>
        <v>0</v>
      </c>
      <c r="N74" s="23">
        <f t="shared" si="35"/>
        <v>0.20434672612610796</v>
      </c>
      <c r="O74" s="23">
        <f t="shared" si="35"/>
        <v>0</v>
      </c>
      <c r="P74" s="26"/>
      <c r="Q74" s="7">
        <f t="shared" si="32"/>
        <v>0.21369820289908156</v>
      </c>
      <c r="R74" s="7">
        <f t="shared" si="32"/>
        <v>0</v>
      </c>
      <c r="S74" s="5"/>
      <c r="T74" s="5"/>
    </row>
    <row r="75" spans="2:20" ht="15" x14ac:dyDescent="0.25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28"/>
      <c r="Q75" s="5"/>
      <c r="R75" s="5"/>
      <c r="S75" s="5"/>
      <c r="T75" s="5"/>
    </row>
    <row r="76" spans="2:20" ht="30" x14ac:dyDescent="0.25">
      <c r="B76" s="43" t="s">
        <v>43</v>
      </c>
      <c r="C76" s="43" t="s">
        <v>0</v>
      </c>
      <c r="D76" s="43" t="s">
        <v>1</v>
      </c>
      <c r="E76" s="43" t="s">
        <v>28</v>
      </c>
      <c r="F76" s="2" t="s">
        <v>29</v>
      </c>
      <c r="G76" s="2" t="s">
        <v>6</v>
      </c>
      <c r="H76" s="43" t="s">
        <v>2</v>
      </c>
      <c r="I76" s="43" t="s">
        <v>3</v>
      </c>
      <c r="J76" s="43" t="s">
        <v>4</v>
      </c>
      <c r="K76" s="43" t="s">
        <v>9</v>
      </c>
      <c r="L76" s="43" t="s">
        <v>8</v>
      </c>
      <c r="M76" s="43" t="s">
        <v>25</v>
      </c>
      <c r="N76" s="43" t="s">
        <v>7</v>
      </c>
      <c r="O76" s="43" t="s">
        <v>89</v>
      </c>
      <c r="P76" s="25"/>
      <c r="Q76" s="43" t="s">
        <v>5</v>
      </c>
      <c r="R76" s="43" t="s">
        <v>91</v>
      </c>
      <c r="T76" s="43"/>
    </row>
    <row r="77" spans="2:20" ht="15" x14ac:dyDescent="0.25">
      <c r="B77" s="3">
        <v>2016</v>
      </c>
      <c r="C77" s="23">
        <f t="shared" ref="C77:O77" si="36">IFERROR(C46/(8.76*C16),0)</f>
        <v>0</v>
      </c>
      <c r="D77" s="23">
        <f t="shared" si="36"/>
        <v>0</v>
      </c>
      <c r="E77" s="23">
        <f t="shared" si="36"/>
        <v>0</v>
      </c>
      <c r="F77" s="23">
        <f t="shared" si="36"/>
        <v>0</v>
      </c>
      <c r="G77" s="23">
        <f t="shared" si="36"/>
        <v>0</v>
      </c>
      <c r="H77" s="23">
        <f t="shared" si="36"/>
        <v>0</v>
      </c>
      <c r="I77" s="23">
        <f t="shared" si="36"/>
        <v>0</v>
      </c>
      <c r="J77" s="23">
        <f t="shared" si="36"/>
        <v>0</v>
      </c>
      <c r="K77" s="23">
        <f t="shared" si="36"/>
        <v>0</v>
      </c>
      <c r="L77" s="23">
        <f t="shared" si="36"/>
        <v>0</v>
      </c>
      <c r="M77" s="23">
        <f t="shared" si="36"/>
        <v>0</v>
      </c>
      <c r="N77" s="23">
        <f t="shared" si="36"/>
        <v>0</v>
      </c>
      <c r="O77" s="23">
        <f t="shared" si="36"/>
        <v>0</v>
      </c>
      <c r="P77" s="26"/>
      <c r="Q77" s="7">
        <f t="shared" ref="Q77:R80" si="37">IFERROR(Q46/(8.76*Q16),0)</f>
        <v>0</v>
      </c>
      <c r="R77" s="7">
        <f t="shared" si="37"/>
        <v>0</v>
      </c>
      <c r="S77" s="5"/>
      <c r="T77" s="5"/>
    </row>
    <row r="78" spans="2:20" ht="15" x14ac:dyDescent="0.25">
      <c r="B78" s="3">
        <v>2030</v>
      </c>
      <c r="C78" s="23">
        <f t="shared" ref="C78:O78" si="38">IFERROR(C47/(8.76*C17),0)</f>
        <v>0</v>
      </c>
      <c r="D78" s="23">
        <f t="shared" si="38"/>
        <v>0</v>
      </c>
      <c r="E78" s="23">
        <f t="shared" si="38"/>
        <v>0.22374979426203137</v>
      </c>
      <c r="F78" s="23">
        <f t="shared" si="38"/>
        <v>1.5050766346901796E-2</v>
      </c>
      <c r="G78" s="23">
        <f t="shared" si="38"/>
        <v>0</v>
      </c>
      <c r="H78" s="23">
        <f t="shared" si="38"/>
        <v>0.36600727457260768</v>
      </c>
      <c r="I78" s="23">
        <f t="shared" si="38"/>
        <v>0</v>
      </c>
      <c r="J78" s="23">
        <f t="shared" si="38"/>
        <v>0.20250182184706181</v>
      </c>
      <c r="K78" s="23">
        <f t="shared" si="38"/>
        <v>0.78990655850282165</v>
      </c>
      <c r="L78" s="23">
        <f t="shared" si="38"/>
        <v>0</v>
      </c>
      <c r="M78" s="23">
        <f t="shared" si="38"/>
        <v>1.4438150538671859E-2</v>
      </c>
      <c r="N78" s="23">
        <f t="shared" si="38"/>
        <v>0</v>
      </c>
      <c r="O78" s="23">
        <f t="shared" si="38"/>
        <v>0</v>
      </c>
      <c r="P78" s="26"/>
      <c r="Q78" s="7">
        <f t="shared" si="37"/>
        <v>0</v>
      </c>
      <c r="R78" s="7">
        <f t="shared" si="37"/>
        <v>0.78990655850282165</v>
      </c>
      <c r="S78" s="5"/>
      <c r="T78" s="5"/>
    </row>
    <row r="79" spans="2:20" ht="15" x14ac:dyDescent="0.25">
      <c r="B79" s="3">
        <v>2040</v>
      </c>
      <c r="C79" s="23">
        <f t="shared" ref="C79:O79" si="39">IFERROR(C48/(8.76*C18),0)</f>
        <v>0.8007333624042583</v>
      </c>
      <c r="D79" s="23">
        <f t="shared" si="39"/>
        <v>0</v>
      </c>
      <c r="E79" s="23">
        <f t="shared" si="39"/>
        <v>0.26730322389089622</v>
      </c>
      <c r="F79" s="23">
        <f t="shared" si="39"/>
        <v>1.1666586588342048E-2</v>
      </c>
      <c r="G79" s="23">
        <f t="shared" si="39"/>
        <v>0</v>
      </c>
      <c r="H79" s="23">
        <f t="shared" si="39"/>
        <v>0.35182693901351536</v>
      </c>
      <c r="I79" s="23">
        <f t="shared" si="39"/>
        <v>0</v>
      </c>
      <c r="J79" s="23">
        <f t="shared" si="39"/>
        <v>0.20375575013872249</v>
      </c>
      <c r="K79" s="23">
        <f t="shared" si="39"/>
        <v>0.80110020852149766</v>
      </c>
      <c r="L79" s="23">
        <f t="shared" si="39"/>
        <v>0</v>
      </c>
      <c r="M79" s="23">
        <f t="shared" si="39"/>
        <v>1.3871368808114085E-2</v>
      </c>
      <c r="N79" s="23">
        <f t="shared" si="39"/>
        <v>0</v>
      </c>
      <c r="O79" s="23">
        <f t="shared" si="39"/>
        <v>0</v>
      </c>
      <c r="P79" s="26"/>
      <c r="Q79" s="7">
        <f t="shared" si="37"/>
        <v>0</v>
      </c>
      <c r="R79" s="7">
        <f t="shared" si="37"/>
        <v>0.80110020852149766</v>
      </c>
      <c r="S79" s="5"/>
      <c r="T79" s="5"/>
    </row>
    <row r="80" spans="2:20" ht="15" x14ac:dyDescent="0.25">
      <c r="B80" s="3">
        <v>2050</v>
      </c>
      <c r="C80" s="23">
        <f t="shared" ref="C80:O80" si="40">IFERROR(C49/(8.76*C19),0)</f>
        <v>0.86473422410112677</v>
      </c>
      <c r="D80" s="23">
        <f t="shared" si="40"/>
        <v>0</v>
      </c>
      <c r="E80" s="23">
        <f t="shared" si="40"/>
        <v>0.34436553645506357</v>
      </c>
      <c r="F80" s="23">
        <f t="shared" si="40"/>
        <v>1.0021893525138728E-2</v>
      </c>
      <c r="G80" s="23">
        <f t="shared" si="40"/>
        <v>0.70697331858103829</v>
      </c>
      <c r="H80" s="23">
        <f t="shared" si="40"/>
        <v>0.34958053705006187</v>
      </c>
      <c r="I80" s="23">
        <f t="shared" si="40"/>
        <v>0</v>
      </c>
      <c r="J80" s="23">
        <f t="shared" si="40"/>
        <v>0.20234807047931369</v>
      </c>
      <c r="K80" s="23">
        <f t="shared" si="40"/>
        <v>0.81831209019403739</v>
      </c>
      <c r="L80" s="23">
        <f t="shared" si="40"/>
        <v>0</v>
      </c>
      <c r="M80" s="23">
        <f t="shared" si="40"/>
        <v>1.3824409246605685E-2</v>
      </c>
      <c r="N80" s="23">
        <f t="shared" si="40"/>
        <v>0</v>
      </c>
      <c r="O80" s="23">
        <f t="shared" si="40"/>
        <v>0</v>
      </c>
      <c r="P80" s="26"/>
      <c r="Q80" s="7">
        <f t="shared" si="37"/>
        <v>0.70697331858103829</v>
      </c>
      <c r="R80" s="7">
        <f t="shared" si="37"/>
        <v>0.81831209019403739</v>
      </c>
      <c r="S80" s="5"/>
      <c r="T80" s="5"/>
    </row>
    <row r="81" spans="1:58" ht="15" x14ac:dyDescent="0.25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28"/>
    </row>
    <row r="82" spans="1:58" ht="30" x14ac:dyDescent="0.25">
      <c r="B82" s="43" t="s">
        <v>52</v>
      </c>
      <c r="C82" s="43" t="s">
        <v>0</v>
      </c>
      <c r="D82" s="43" t="s">
        <v>1</v>
      </c>
      <c r="E82" s="43" t="s">
        <v>28</v>
      </c>
      <c r="F82" s="2" t="s">
        <v>29</v>
      </c>
      <c r="G82" s="2" t="s">
        <v>6</v>
      </c>
      <c r="H82" s="43" t="s">
        <v>2</v>
      </c>
      <c r="I82" s="43" t="s">
        <v>3</v>
      </c>
      <c r="J82" s="43" t="s">
        <v>4</v>
      </c>
      <c r="K82" s="43" t="s">
        <v>9</v>
      </c>
      <c r="L82" s="43" t="s">
        <v>8</v>
      </c>
      <c r="M82" s="43" t="s">
        <v>25</v>
      </c>
      <c r="N82" s="43" t="s">
        <v>7</v>
      </c>
      <c r="O82" s="43" t="s">
        <v>89</v>
      </c>
      <c r="P82" s="25"/>
      <c r="Q82" s="43" t="s">
        <v>5</v>
      </c>
      <c r="R82" s="43" t="s">
        <v>91</v>
      </c>
      <c r="T82" s="43"/>
    </row>
    <row r="83" spans="1:58" ht="15" x14ac:dyDescent="0.25">
      <c r="B83" s="3">
        <v>2016</v>
      </c>
      <c r="C83" s="23">
        <f t="shared" ref="C83:O83" si="41">IFERROR(C52/(8.76*C22),0)</f>
        <v>0.60460138070656211</v>
      </c>
      <c r="D83" s="23">
        <f t="shared" si="41"/>
        <v>0.90488773776270071</v>
      </c>
      <c r="E83" s="23">
        <f t="shared" si="41"/>
        <v>0.20327398012747969</v>
      </c>
      <c r="F83" s="23">
        <f t="shared" si="41"/>
        <v>6.7588779038524713E-2</v>
      </c>
      <c r="G83" s="23">
        <f t="shared" si="41"/>
        <v>0.82769756710584552</v>
      </c>
      <c r="H83" s="23">
        <f t="shared" si="41"/>
        <v>0.31449117136314036</v>
      </c>
      <c r="I83" s="23">
        <f t="shared" si="41"/>
        <v>0.47241434111308539</v>
      </c>
      <c r="J83" s="23">
        <f t="shared" si="41"/>
        <v>0.20369543738680201</v>
      </c>
      <c r="K83" s="23">
        <f t="shared" si="41"/>
        <v>0</v>
      </c>
      <c r="L83" s="23">
        <f t="shared" si="41"/>
        <v>0.68481680259532229</v>
      </c>
      <c r="M83" s="23">
        <f t="shared" si="41"/>
        <v>0</v>
      </c>
      <c r="N83" s="23">
        <f t="shared" si="41"/>
        <v>0.21634536847565858</v>
      </c>
      <c r="O83" s="23">
        <f t="shared" si="41"/>
        <v>0</v>
      </c>
      <c r="P83" s="26"/>
      <c r="Q83" s="7">
        <f t="shared" ref="Q83:R86" si="42">IFERROR(Q52/(8.76*Q22),0)</f>
        <v>0.57073122663346065</v>
      </c>
      <c r="R83" s="7">
        <f t="shared" si="42"/>
        <v>0.68481680259532229</v>
      </c>
      <c r="S83" s="5"/>
      <c r="T83" s="5"/>
    </row>
    <row r="84" spans="1:58" ht="15" x14ac:dyDescent="0.25">
      <c r="B84" s="3">
        <v>2030</v>
      </c>
      <c r="C84" s="23">
        <f t="shared" ref="C84:O84" si="43">IFERROR(C53/(8.76*C23),0)</f>
        <v>0.69018802276034752</v>
      </c>
      <c r="D84" s="23">
        <f t="shared" si="43"/>
        <v>0.89668777452278747</v>
      </c>
      <c r="E84" s="23">
        <f t="shared" si="43"/>
        <v>0.23863162612699623</v>
      </c>
      <c r="F84" s="23">
        <f t="shared" si="43"/>
        <v>1.1503891324767762E-2</v>
      </c>
      <c r="G84" s="23">
        <f t="shared" si="43"/>
        <v>0.65558468120956503</v>
      </c>
      <c r="H84" s="23">
        <f t="shared" si="43"/>
        <v>0.36600847580112861</v>
      </c>
      <c r="I84" s="23">
        <f t="shared" si="43"/>
        <v>0.5499138903323636</v>
      </c>
      <c r="J84" s="23">
        <f t="shared" si="43"/>
        <v>0.20250353568281371</v>
      </c>
      <c r="K84" s="23">
        <f t="shared" si="43"/>
        <v>0.72167695921499397</v>
      </c>
      <c r="L84" s="23">
        <f t="shared" si="43"/>
        <v>0.71341909619994193</v>
      </c>
      <c r="M84" s="23">
        <f t="shared" si="43"/>
        <v>1.4438150538671859E-2</v>
      </c>
      <c r="N84" s="23">
        <f t="shared" si="43"/>
        <v>0.19796637749513796</v>
      </c>
      <c r="O84" s="23">
        <f t="shared" si="43"/>
        <v>0</v>
      </c>
      <c r="P84" s="26"/>
      <c r="Q84" s="7">
        <f t="shared" si="42"/>
        <v>0.39612508221883064</v>
      </c>
      <c r="R84" s="7">
        <f t="shared" si="42"/>
        <v>0.71689428021877621</v>
      </c>
      <c r="S84" s="5"/>
      <c r="T84" s="5"/>
    </row>
    <row r="85" spans="1:58" ht="15" x14ac:dyDescent="0.25">
      <c r="B85" s="3">
        <v>2040</v>
      </c>
      <c r="C85" s="23">
        <f t="shared" ref="C85:O85" si="44">IFERROR(C54/(8.76*C24),0)</f>
        <v>0.75863093127368886</v>
      </c>
      <c r="D85" s="23">
        <f t="shared" si="44"/>
        <v>0.89492701987832801</v>
      </c>
      <c r="E85" s="23">
        <f t="shared" si="44"/>
        <v>0.2725063087006791</v>
      </c>
      <c r="F85" s="23">
        <f t="shared" si="44"/>
        <v>1.1431829283720198E-2</v>
      </c>
      <c r="G85" s="23">
        <f t="shared" si="44"/>
        <v>0.67025911399275917</v>
      </c>
      <c r="H85" s="23">
        <f t="shared" si="44"/>
        <v>0.35182693901351536</v>
      </c>
      <c r="I85" s="23">
        <f t="shared" si="44"/>
        <v>0.55136097977942644</v>
      </c>
      <c r="J85" s="23">
        <f t="shared" si="44"/>
        <v>0.20375365543957427</v>
      </c>
      <c r="K85" s="23">
        <f t="shared" si="44"/>
        <v>0.73399491279331552</v>
      </c>
      <c r="L85" s="23">
        <f t="shared" si="44"/>
        <v>0.7439190596895715</v>
      </c>
      <c r="M85" s="23">
        <f t="shared" si="44"/>
        <v>1.3871368808114085E-2</v>
      </c>
      <c r="N85" s="23">
        <f t="shared" si="44"/>
        <v>0.169557673736909</v>
      </c>
      <c r="O85" s="23">
        <f t="shared" si="44"/>
        <v>0</v>
      </c>
      <c r="P85" s="26"/>
      <c r="Q85" s="7">
        <f t="shared" si="42"/>
        <v>0.38637231609068828</v>
      </c>
      <c r="R85" s="7">
        <f t="shared" si="42"/>
        <v>0.73974264787073041</v>
      </c>
      <c r="S85" s="5"/>
      <c r="T85" s="5"/>
    </row>
    <row r="86" spans="1:58" ht="15" x14ac:dyDescent="0.25">
      <c r="B86" s="3">
        <v>2050</v>
      </c>
      <c r="C86" s="23">
        <f t="shared" ref="C86:O86" si="45">IFERROR(C55/(8.76*C25),0)</f>
        <v>0.83707652445175962</v>
      </c>
      <c r="D86" s="23">
        <f t="shared" si="45"/>
        <v>0</v>
      </c>
      <c r="E86" s="23">
        <f t="shared" si="45"/>
        <v>0.34757822639831992</v>
      </c>
      <c r="F86" s="23">
        <f t="shared" si="45"/>
        <v>1.0021893525138728E-2</v>
      </c>
      <c r="G86" s="23">
        <f t="shared" si="45"/>
        <v>0.68886457107265331</v>
      </c>
      <c r="H86" s="23">
        <f t="shared" si="45"/>
        <v>0.34958053705006187</v>
      </c>
      <c r="I86" s="23">
        <f t="shared" si="45"/>
        <v>0</v>
      </c>
      <c r="J86" s="23">
        <f t="shared" si="45"/>
        <v>0.20234807047931369</v>
      </c>
      <c r="K86" s="23">
        <f t="shared" si="45"/>
        <v>0.81831209019403739</v>
      </c>
      <c r="L86" s="23">
        <f t="shared" si="45"/>
        <v>0.76831609831211889</v>
      </c>
      <c r="M86" s="23">
        <f t="shared" si="45"/>
        <v>1.3824409246605685E-2</v>
      </c>
      <c r="N86" s="23">
        <f t="shared" si="45"/>
        <v>0.14860537804623633</v>
      </c>
      <c r="O86" s="23">
        <f t="shared" si="45"/>
        <v>0</v>
      </c>
      <c r="P86" s="26"/>
      <c r="Q86" s="7">
        <f t="shared" si="42"/>
        <v>0.48283592124382585</v>
      </c>
      <c r="R86" s="7">
        <f t="shared" si="42"/>
        <v>0.79263321498620365</v>
      </c>
      <c r="S86" s="5"/>
      <c r="T86" s="5"/>
    </row>
    <row r="87" spans="1:58" s="11" customFormat="1" ht="15" x14ac:dyDescent="0.25">
      <c r="C87" s="12"/>
      <c r="D87" s="12"/>
      <c r="E87" s="14"/>
      <c r="F87" s="14"/>
      <c r="G87" s="14"/>
      <c r="H87" s="16"/>
      <c r="I87" s="14"/>
      <c r="J87" s="14"/>
      <c r="K87" s="16"/>
      <c r="L87" s="14"/>
      <c r="M87" s="16"/>
      <c r="N87" s="20"/>
      <c r="O87" s="20"/>
      <c r="P87" s="20"/>
    </row>
    <row r="88" spans="1:58" s="9" customFormat="1" ht="21" x14ac:dyDescent="0.35">
      <c r="B88" s="10" t="s">
        <v>57</v>
      </c>
    </row>
    <row r="89" spans="1:58" ht="30" x14ac:dyDescent="0.25">
      <c r="B89" s="43" t="s">
        <v>56</v>
      </c>
      <c r="C89" s="43" t="s">
        <v>0</v>
      </c>
      <c r="D89" s="43" t="s">
        <v>1</v>
      </c>
      <c r="E89" s="43" t="s">
        <v>28</v>
      </c>
      <c r="F89" s="2" t="s">
        <v>29</v>
      </c>
      <c r="G89" s="2" t="s">
        <v>6</v>
      </c>
      <c r="H89" s="43" t="s">
        <v>2</v>
      </c>
      <c r="I89" s="43" t="s">
        <v>3</v>
      </c>
      <c r="J89" s="43" t="s">
        <v>4</v>
      </c>
      <c r="K89" s="43" t="s">
        <v>9</v>
      </c>
      <c r="L89" s="43" t="s">
        <v>8</v>
      </c>
      <c r="M89" s="43" t="s">
        <v>25</v>
      </c>
      <c r="N89" s="43" t="s">
        <v>7</v>
      </c>
      <c r="O89" s="43" t="s">
        <v>89</v>
      </c>
      <c r="P89" s="25"/>
      <c r="Q89" s="43"/>
      <c r="R89" s="43"/>
      <c r="T89" s="43"/>
      <c r="U89" s="25"/>
      <c r="V89" s="25"/>
      <c r="W89" s="25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</row>
    <row r="90" spans="1:58" ht="15" x14ac:dyDescent="0.25">
      <c r="A90" s="15"/>
      <c r="B90" s="3">
        <v>2016</v>
      </c>
      <c r="C90" s="80" t="e">
        <f>Y90*(Inputs_Summary!#REF!/$Y52)</f>
        <v>#REF!</v>
      </c>
      <c r="D90" s="80" t="e">
        <f>Z90*(Inputs_Summary!#REF!/$Y52)</f>
        <v>#REF!</v>
      </c>
      <c r="E90" s="80" t="e">
        <f>AA90*(Inputs_Summary!#REF!/$Y52)</f>
        <v>#REF!</v>
      </c>
      <c r="F90" s="80" t="e">
        <f>AB90*(Inputs_Summary!#REF!/$Y52)</f>
        <v>#REF!</v>
      </c>
      <c r="G90" s="80" t="e">
        <f>AC90*(Inputs_Summary!#REF!/$Y52)</f>
        <v>#REF!</v>
      </c>
      <c r="H90" s="102" t="e">
        <f>AD90*(Inputs_Summary!#REF!/$Y52)</f>
        <v>#REF!</v>
      </c>
      <c r="I90" s="80" t="e">
        <f>AE90*(Inputs_Summary!#REF!/$Y52)</f>
        <v>#REF!</v>
      </c>
      <c r="J90" s="102" t="e">
        <f>AF90*(Inputs_Summary!#REF!/$Y52)</f>
        <v>#REF!</v>
      </c>
      <c r="K90" s="80" t="e">
        <f>AG90*(Inputs_Summary!#REF!/$Y52)</f>
        <v>#REF!</v>
      </c>
      <c r="L90" s="80" t="e">
        <f>AH90*(Inputs_Summary!#REF!/$Y52)</f>
        <v>#REF!</v>
      </c>
      <c r="M90" s="80" t="e">
        <f>AI90*(Inputs_Summary!#REF!/$Y52)</f>
        <v>#REF!</v>
      </c>
      <c r="N90" s="80" t="e">
        <f>AJ90*(Inputs_Summary!#REF!/$Y52)</f>
        <v>#REF!</v>
      </c>
      <c r="O90" s="80" t="e">
        <f>AK90*(Inputs_Summary!#REF!/$Y52)</f>
        <v>#REF!</v>
      </c>
      <c r="P90" s="83"/>
      <c r="Q90" s="39"/>
      <c r="R90" s="5"/>
      <c r="T90" s="5"/>
      <c r="U90" s="24"/>
      <c r="V90" s="24"/>
      <c r="W90" s="26"/>
      <c r="X90" s="39"/>
      <c r="Y90" s="82">
        <v>235642</v>
      </c>
      <c r="Z90" s="39">
        <v>14379</v>
      </c>
      <c r="AA90" s="39">
        <v>2932</v>
      </c>
      <c r="AB90" s="39">
        <v>25920</v>
      </c>
      <c r="AC90" s="39">
        <v>17154</v>
      </c>
      <c r="AD90" s="39">
        <v>4540.2788877644989</v>
      </c>
      <c r="AE90" s="39">
        <v>915.6228325511039</v>
      </c>
      <c r="AF90" s="39">
        <v>2664.7418684270319</v>
      </c>
      <c r="AG90" s="39">
        <v>0</v>
      </c>
      <c r="AH90" s="39">
        <v>1862</v>
      </c>
      <c r="AI90" s="39">
        <v>0</v>
      </c>
      <c r="AJ90" s="39">
        <v>12136</v>
      </c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</row>
    <row r="91" spans="1:58" ht="15" x14ac:dyDescent="0.25">
      <c r="A91" s="15"/>
      <c r="B91" s="3">
        <v>2030</v>
      </c>
      <c r="C91" s="80" t="e">
        <f>Y91*(Inputs_Summary!#REF!/$Y53)</f>
        <v>#REF!</v>
      </c>
      <c r="D91" s="80" t="e">
        <f>Z91*(Inputs_Summary!#REF!/$Y53)</f>
        <v>#REF!</v>
      </c>
      <c r="E91" s="80" t="e">
        <f>AA91*(Inputs_Summary!#REF!/$Y53)</f>
        <v>#REF!</v>
      </c>
      <c r="F91" s="80" t="e">
        <f>AB91*(Inputs_Summary!#REF!/$Y53)</f>
        <v>#REF!</v>
      </c>
      <c r="G91" s="80" t="e">
        <f>AC91*(Inputs_Summary!#REF!/$Y53)</f>
        <v>#REF!</v>
      </c>
      <c r="H91" s="102" t="e">
        <f>AD91*(Inputs_Summary!#REF!/$Y53)</f>
        <v>#REF!</v>
      </c>
      <c r="I91" s="80" t="e">
        <f>AE91*(Inputs_Summary!#REF!/$Y53)</f>
        <v>#REF!</v>
      </c>
      <c r="J91" s="102" t="e">
        <f>AF91*(Inputs_Summary!#REF!/$Y53)</f>
        <v>#REF!</v>
      </c>
      <c r="K91" s="80" t="e">
        <f>AG91*(Inputs_Summary!#REF!/$Y53)</f>
        <v>#REF!</v>
      </c>
      <c r="L91" s="80" t="e">
        <f>AH91*(Inputs_Summary!#REF!/$Y53)</f>
        <v>#REF!</v>
      </c>
      <c r="M91" s="80" t="e">
        <f>AI91*(Inputs_Summary!#REF!/$Y53)</f>
        <v>#REF!</v>
      </c>
      <c r="N91" s="80" t="e">
        <f>AJ91*(Inputs_Summary!#REF!/$Y53)</f>
        <v>#REF!</v>
      </c>
      <c r="O91" s="80" t="e">
        <f>AK91*(Inputs_Summary!#REF!/$Y53)</f>
        <v>#REF!</v>
      </c>
      <c r="P91" s="83"/>
      <c r="Q91" s="39"/>
      <c r="R91" s="5"/>
      <c r="T91" s="5"/>
      <c r="U91" s="24"/>
      <c r="V91" s="24"/>
      <c r="W91" s="26"/>
      <c r="X91" s="39"/>
      <c r="Y91" s="82">
        <v>236599</v>
      </c>
      <c r="Z91" s="82">
        <v>14725</v>
      </c>
      <c r="AA91" s="82">
        <v>64693</v>
      </c>
      <c r="AB91" s="82">
        <v>72412</v>
      </c>
      <c r="AC91" s="82">
        <v>37969</v>
      </c>
      <c r="AD91" s="82">
        <v>32998</v>
      </c>
      <c r="AE91" s="82">
        <v>5072</v>
      </c>
      <c r="AF91" s="82">
        <v>14103</v>
      </c>
      <c r="AG91" s="82">
        <v>2273</v>
      </c>
      <c r="AH91" s="82">
        <v>3067</v>
      </c>
      <c r="AI91" s="82">
        <v>0</v>
      </c>
      <c r="AJ91" s="82">
        <v>25591</v>
      </c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</row>
    <row r="92" spans="1:58" ht="15" x14ac:dyDescent="0.25">
      <c r="A92" s="15"/>
      <c r="B92" s="3">
        <v>2040</v>
      </c>
      <c r="C92" s="80" t="e">
        <f>Y92*(Inputs_Summary!#REF!/$Y54)</f>
        <v>#REF!</v>
      </c>
      <c r="D92" s="80" t="e">
        <f>Z92*(Inputs_Summary!#REF!/$Y54)</f>
        <v>#REF!</v>
      </c>
      <c r="E92" s="80" t="e">
        <f>AA92*(Inputs_Summary!#REF!/$Y54)</f>
        <v>#REF!</v>
      </c>
      <c r="F92" s="80" t="e">
        <f>AB92*(Inputs_Summary!#REF!/$Y54)</f>
        <v>#REF!</v>
      </c>
      <c r="G92" s="80" t="e">
        <f>AC92*(Inputs_Summary!#REF!/$Y54)</f>
        <v>#REF!</v>
      </c>
      <c r="H92" s="102" t="e">
        <f>AD92*(Inputs_Summary!#REF!/$Y54)</f>
        <v>#REF!</v>
      </c>
      <c r="I92" s="80" t="e">
        <f>AE92*(Inputs_Summary!#REF!/$Y54)</f>
        <v>#REF!</v>
      </c>
      <c r="J92" s="102" t="e">
        <f>AF92*(Inputs_Summary!#REF!/$Y54)</f>
        <v>#REF!</v>
      </c>
      <c r="K92" s="80" t="e">
        <f>AG92*(Inputs_Summary!#REF!/$Y54)</f>
        <v>#REF!</v>
      </c>
      <c r="L92" s="80" t="e">
        <f>AH92*(Inputs_Summary!#REF!/$Y54)</f>
        <v>#REF!</v>
      </c>
      <c r="M92" s="80" t="e">
        <f>AI92*(Inputs_Summary!#REF!/$Y54)</f>
        <v>#REF!</v>
      </c>
      <c r="N92" s="80" t="e">
        <f>AJ92*(Inputs_Summary!#REF!/$Y54)</f>
        <v>#REF!</v>
      </c>
      <c r="O92" s="80" t="e">
        <f>AK92*(Inputs_Summary!#REF!/$Y54)</f>
        <v>#REF!</v>
      </c>
      <c r="P92" s="83"/>
      <c r="Q92" s="39"/>
      <c r="R92" s="5"/>
      <c r="T92" s="5"/>
      <c r="U92" s="24"/>
      <c r="V92" s="24"/>
      <c r="W92" s="26"/>
      <c r="X92" s="39"/>
      <c r="Y92" s="82">
        <v>264119</v>
      </c>
      <c r="Z92" s="82">
        <v>14773</v>
      </c>
      <c r="AA92" s="82">
        <v>99183</v>
      </c>
      <c r="AB92" s="82">
        <v>102641</v>
      </c>
      <c r="AC92" s="82">
        <v>38176</v>
      </c>
      <c r="AD92" s="82">
        <v>58040</v>
      </c>
      <c r="AE92" s="82">
        <v>5071</v>
      </c>
      <c r="AF92" s="82">
        <v>30867</v>
      </c>
      <c r="AG92" s="82">
        <v>2290</v>
      </c>
      <c r="AH92" s="82">
        <v>3068</v>
      </c>
      <c r="AI92" s="82">
        <v>0</v>
      </c>
      <c r="AJ92" s="82">
        <v>25651</v>
      </c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</row>
    <row r="93" spans="1:58" ht="15" x14ac:dyDescent="0.25">
      <c r="A93" s="15"/>
      <c r="B93" s="3">
        <v>2050</v>
      </c>
      <c r="C93" s="80" t="e">
        <f>Y93*(Inputs_Summary!#REF!/$Y55)</f>
        <v>#REF!</v>
      </c>
      <c r="D93" s="80" t="e">
        <f>Z93*(Inputs_Summary!#REF!/$Y55)</f>
        <v>#REF!</v>
      </c>
      <c r="E93" s="80" t="e">
        <f>AA93*(Inputs_Summary!#REF!/$Y55)</f>
        <v>#REF!</v>
      </c>
      <c r="F93" s="80" t="e">
        <f>AB93*(Inputs_Summary!#REF!/$Y55)</f>
        <v>#REF!</v>
      </c>
      <c r="G93" s="80" t="e">
        <f>AC93*(Inputs_Summary!#REF!/$Y55)</f>
        <v>#REF!</v>
      </c>
      <c r="H93" s="102" t="e">
        <f>AD93*(Inputs_Summary!#REF!/$Y55)</f>
        <v>#REF!</v>
      </c>
      <c r="I93" s="80" t="e">
        <f>AE93*(Inputs_Summary!#REF!/$Y55)</f>
        <v>#REF!</v>
      </c>
      <c r="J93" s="102" t="e">
        <f>AF93*(Inputs_Summary!#REF!/$Y55)</f>
        <v>#REF!</v>
      </c>
      <c r="K93" s="80" t="e">
        <f>AG93*(Inputs_Summary!#REF!/$Y55)</f>
        <v>#REF!</v>
      </c>
      <c r="L93" s="80" t="e">
        <f>AH93*(Inputs_Summary!#REF!/$Y55)</f>
        <v>#REF!</v>
      </c>
      <c r="M93" s="80" t="e">
        <f>AI93*(Inputs_Summary!#REF!/$Y55)</f>
        <v>#REF!</v>
      </c>
      <c r="N93" s="80" t="e">
        <f>AJ93*(Inputs_Summary!#REF!/$Y55)</f>
        <v>#REF!</v>
      </c>
      <c r="O93" s="80" t="e">
        <f>AK93*(Inputs_Summary!#REF!/$Y55)</f>
        <v>#REF!</v>
      </c>
      <c r="P93" s="83"/>
      <c r="Q93" s="39"/>
      <c r="R93" s="5"/>
      <c r="T93" s="5"/>
      <c r="U93" s="24"/>
      <c r="V93" s="24"/>
      <c r="W93" s="26"/>
      <c r="X93" s="39"/>
      <c r="Y93" s="82">
        <v>218697</v>
      </c>
      <c r="Z93" s="82">
        <v>0</v>
      </c>
      <c r="AA93" s="82">
        <v>137357</v>
      </c>
      <c r="AB93" s="82">
        <v>210146</v>
      </c>
      <c r="AC93" s="82">
        <v>38033</v>
      </c>
      <c r="AD93" s="82">
        <v>172743</v>
      </c>
      <c r="AE93" s="82">
        <v>0</v>
      </c>
      <c r="AF93" s="82">
        <v>71501</v>
      </c>
      <c r="AG93" s="82">
        <v>1927</v>
      </c>
      <c r="AH93" s="82">
        <v>1860</v>
      </c>
      <c r="AI93" s="82">
        <v>0</v>
      </c>
      <c r="AJ93" s="82">
        <v>25640</v>
      </c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</row>
    <row r="94" spans="1:58" s="11" customFormat="1" ht="15" x14ac:dyDescent="0.25">
      <c r="A94" s="20"/>
      <c r="C94" s="83"/>
      <c r="D94" s="83"/>
      <c r="E94" s="83"/>
      <c r="F94" s="83"/>
      <c r="G94" s="83"/>
      <c r="H94" s="56"/>
      <c r="I94" s="83"/>
      <c r="J94" s="56"/>
      <c r="K94" s="83"/>
      <c r="L94" s="83"/>
      <c r="M94" s="83"/>
      <c r="N94" s="83"/>
      <c r="O94" s="83"/>
      <c r="P94" s="83"/>
      <c r="Q94" s="12"/>
      <c r="R94" s="57"/>
      <c r="T94" s="57"/>
      <c r="U94" s="24"/>
      <c r="V94" s="24"/>
      <c r="W94" s="26"/>
      <c r="X94" s="1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</row>
    <row r="95" spans="1:58" ht="30" x14ac:dyDescent="0.25">
      <c r="B95" s="43" t="s">
        <v>54</v>
      </c>
      <c r="C95" s="43" t="s">
        <v>0</v>
      </c>
      <c r="D95" s="43" t="s">
        <v>1</v>
      </c>
      <c r="E95" s="43" t="s">
        <v>28</v>
      </c>
      <c r="F95" s="2" t="s">
        <v>29</v>
      </c>
      <c r="G95" s="2" t="s">
        <v>6</v>
      </c>
      <c r="H95" s="43" t="s">
        <v>2</v>
      </c>
      <c r="I95" s="43" t="s">
        <v>3</v>
      </c>
      <c r="J95" s="43" t="s">
        <v>4</v>
      </c>
      <c r="K95" s="43" t="s">
        <v>9</v>
      </c>
      <c r="L95" s="43" t="s">
        <v>8</v>
      </c>
      <c r="M95" s="43" t="s">
        <v>25</v>
      </c>
      <c r="N95" s="43" t="s">
        <v>7</v>
      </c>
      <c r="O95" s="43" t="s">
        <v>89</v>
      </c>
      <c r="P95" s="25"/>
      <c r="Q95" s="43"/>
      <c r="R95" s="43"/>
      <c r="T95" s="43"/>
      <c r="U95" s="25"/>
      <c r="V95" s="25"/>
      <c r="W95" s="25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</row>
    <row r="96" spans="1:58" ht="15" x14ac:dyDescent="0.25">
      <c r="A96" s="15"/>
      <c r="B96" s="3">
        <v>2016</v>
      </c>
      <c r="C96" s="80" t="e">
        <f t="shared" ref="C96:O99" si="46">C90-C52</f>
        <v>#REF!</v>
      </c>
      <c r="D96" s="80" t="e">
        <f t="shared" si="46"/>
        <v>#REF!</v>
      </c>
      <c r="E96" s="80" t="e">
        <f t="shared" si="46"/>
        <v>#REF!</v>
      </c>
      <c r="F96" s="80" t="e">
        <f t="shared" si="46"/>
        <v>#REF!</v>
      </c>
      <c r="G96" s="80" t="e">
        <f t="shared" si="46"/>
        <v>#REF!</v>
      </c>
      <c r="H96" s="50" t="e">
        <f t="shared" si="46"/>
        <v>#REF!</v>
      </c>
      <c r="I96" s="80" t="e">
        <f t="shared" si="46"/>
        <v>#REF!</v>
      </c>
      <c r="J96" s="50" t="e">
        <f t="shared" si="46"/>
        <v>#REF!</v>
      </c>
      <c r="K96" s="80" t="e">
        <f t="shared" si="46"/>
        <v>#REF!</v>
      </c>
      <c r="L96" s="80" t="e">
        <f t="shared" si="46"/>
        <v>#REF!</v>
      </c>
      <c r="M96" s="80" t="e">
        <f t="shared" si="46"/>
        <v>#REF!</v>
      </c>
      <c r="N96" s="80" t="e">
        <f t="shared" si="46"/>
        <v>#REF!</v>
      </c>
      <c r="O96" s="80" t="e">
        <f t="shared" si="46"/>
        <v>#REF!</v>
      </c>
      <c r="P96" s="83"/>
      <c r="Q96" s="39"/>
      <c r="R96" s="5"/>
      <c r="T96" s="5"/>
      <c r="U96" s="24"/>
      <c r="V96" s="24"/>
      <c r="W96" s="26"/>
      <c r="X96" s="39"/>
      <c r="Y96" s="82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</row>
    <row r="97" spans="1:58" ht="15" x14ac:dyDescent="0.25">
      <c r="A97" s="15"/>
      <c r="B97" s="3">
        <v>2030</v>
      </c>
      <c r="C97" s="80" t="e">
        <f t="shared" si="46"/>
        <v>#REF!</v>
      </c>
      <c r="D97" s="80" t="e">
        <f t="shared" si="46"/>
        <v>#REF!</v>
      </c>
      <c r="E97" s="80" t="e">
        <f t="shared" si="46"/>
        <v>#REF!</v>
      </c>
      <c r="F97" s="80" t="e">
        <f t="shared" si="46"/>
        <v>#REF!</v>
      </c>
      <c r="G97" s="80" t="e">
        <f t="shared" si="46"/>
        <v>#REF!</v>
      </c>
      <c r="H97" s="50" t="e">
        <f t="shared" si="46"/>
        <v>#REF!</v>
      </c>
      <c r="I97" s="80" t="e">
        <f t="shared" si="46"/>
        <v>#REF!</v>
      </c>
      <c r="J97" s="50" t="e">
        <f t="shared" si="46"/>
        <v>#REF!</v>
      </c>
      <c r="K97" s="80" t="e">
        <f t="shared" si="46"/>
        <v>#REF!</v>
      </c>
      <c r="L97" s="80" t="e">
        <f t="shared" si="46"/>
        <v>#REF!</v>
      </c>
      <c r="M97" s="80" t="e">
        <f t="shared" si="46"/>
        <v>#REF!</v>
      </c>
      <c r="N97" s="80" t="e">
        <f t="shared" si="46"/>
        <v>#REF!</v>
      </c>
      <c r="O97" s="80" t="e">
        <f t="shared" si="46"/>
        <v>#REF!</v>
      </c>
      <c r="P97" s="83"/>
      <c r="Q97" s="39"/>
      <c r="R97" s="5"/>
      <c r="T97" s="5"/>
      <c r="U97" s="24"/>
      <c r="V97" s="24"/>
      <c r="W97" s="26"/>
      <c r="X97" s="39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</row>
    <row r="98" spans="1:58" ht="15" x14ac:dyDescent="0.25">
      <c r="A98" s="15"/>
      <c r="B98" s="3">
        <v>2040</v>
      </c>
      <c r="C98" s="80" t="e">
        <f t="shared" si="46"/>
        <v>#REF!</v>
      </c>
      <c r="D98" s="80" t="e">
        <f t="shared" si="46"/>
        <v>#REF!</v>
      </c>
      <c r="E98" s="80" t="e">
        <f t="shared" si="46"/>
        <v>#REF!</v>
      </c>
      <c r="F98" s="80" t="e">
        <f t="shared" si="46"/>
        <v>#REF!</v>
      </c>
      <c r="G98" s="80" t="e">
        <f t="shared" si="46"/>
        <v>#REF!</v>
      </c>
      <c r="H98" s="50" t="e">
        <f t="shared" si="46"/>
        <v>#REF!</v>
      </c>
      <c r="I98" s="80" t="e">
        <f t="shared" si="46"/>
        <v>#REF!</v>
      </c>
      <c r="J98" s="50" t="e">
        <f t="shared" si="46"/>
        <v>#REF!</v>
      </c>
      <c r="K98" s="80" t="e">
        <f t="shared" si="46"/>
        <v>#REF!</v>
      </c>
      <c r="L98" s="80" t="e">
        <f t="shared" si="46"/>
        <v>#REF!</v>
      </c>
      <c r="M98" s="80" t="e">
        <f t="shared" si="46"/>
        <v>#REF!</v>
      </c>
      <c r="N98" s="80" t="e">
        <f t="shared" si="46"/>
        <v>#REF!</v>
      </c>
      <c r="O98" s="80" t="e">
        <f t="shared" si="46"/>
        <v>#REF!</v>
      </c>
      <c r="P98" s="83"/>
      <c r="Q98" s="39"/>
      <c r="R98" s="5"/>
      <c r="T98" s="5"/>
      <c r="U98" s="24"/>
      <c r="V98" s="24"/>
      <c r="W98" s="26"/>
      <c r="X98" s="39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</row>
    <row r="99" spans="1:58" ht="15" x14ac:dyDescent="0.25">
      <c r="A99" s="15"/>
      <c r="B99" s="3">
        <v>2050</v>
      </c>
      <c r="C99" s="80" t="e">
        <f t="shared" si="46"/>
        <v>#REF!</v>
      </c>
      <c r="D99" s="80" t="e">
        <f t="shared" si="46"/>
        <v>#REF!</v>
      </c>
      <c r="E99" s="80" t="e">
        <f t="shared" si="46"/>
        <v>#REF!</v>
      </c>
      <c r="F99" s="80" t="e">
        <f t="shared" si="46"/>
        <v>#REF!</v>
      </c>
      <c r="G99" s="80" t="e">
        <f t="shared" si="46"/>
        <v>#REF!</v>
      </c>
      <c r="H99" s="50" t="e">
        <f t="shared" si="46"/>
        <v>#REF!</v>
      </c>
      <c r="I99" s="80" t="e">
        <f t="shared" si="46"/>
        <v>#REF!</v>
      </c>
      <c r="J99" s="50" t="e">
        <f t="shared" si="46"/>
        <v>#REF!</v>
      </c>
      <c r="K99" s="80" t="e">
        <f t="shared" si="46"/>
        <v>#REF!</v>
      </c>
      <c r="L99" s="80" t="e">
        <f t="shared" si="46"/>
        <v>#REF!</v>
      </c>
      <c r="M99" s="80" t="e">
        <f t="shared" si="46"/>
        <v>#REF!</v>
      </c>
      <c r="N99" s="80" t="e">
        <f t="shared" si="46"/>
        <v>#REF!</v>
      </c>
      <c r="O99" s="80" t="e">
        <f t="shared" si="46"/>
        <v>#REF!</v>
      </c>
      <c r="P99" s="83"/>
      <c r="Q99" s="39"/>
      <c r="R99" s="5"/>
      <c r="T99" s="5"/>
      <c r="U99" s="24"/>
      <c r="V99" s="24"/>
      <c r="W99" s="26"/>
      <c r="X99" s="39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</row>
    <row r="100" spans="1:58" s="11" customFormat="1" ht="15" x14ac:dyDescent="0.25">
      <c r="A100" s="20"/>
      <c r="C100" s="83"/>
      <c r="D100" s="83"/>
      <c r="E100" s="83"/>
      <c r="F100" s="83"/>
      <c r="G100" s="83"/>
      <c r="H100" s="56"/>
      <c r="I100" s="83"/>
      <c r="J100" s="56"/>
      <c r="K100" s="83"/>
      <c r="L100" s="83"/>
      <c r="M100" s="83"/>
      <c r="N100" s="83"/>
      <c r="O100" s="83"/>
      <c r="P100" s="83"/>
      <c r="Q100" s="12"/>
      <c r="R100" s="57"/>
      <c r="T100" s="57"/>
      <c r="U100" s="24"/>
      <c r="V100" s="24"/>
      <c r="W100" s="26"/>
      <c r="X100" s="1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</row>
    <row r="101" spans="1:58" s="11" customFormat="1" ht="30" x14ac:dyDescent="0.25">
      <c r="A101" s="20"/>
      <c r="B101" s="43" t="s">
        <v>55</v>
      </c>
      <c r="C101" s="43" t="s">
        <v>0</v>
      </c>
      <c r="D101" s="43" t="s">
        <v>1</v>
      </c>
      <c r="E101" s="43" t="s">
        <v>28</v>
      </c>
      <c r="F101" s="2" t="s">
        <v>29</v>
      </c>
      <c r="G101" s="2" t="s">
        <v>6</v>
      </c>
      <c r="H101" s="43" t="s">
        <v>2</v>
      </c>
      <c r="I101" s="43" t="s">
        <v>3</v>
      </c>
      <c r="J101" s="43" t="s">
        <v>4</v>
      </c>
      <c r="K101" s="43" t="s">
        <v>9</v>
      </c>
      <c r="L101" s="43" t="s">
        <v>8</v>
      </c>
      <c r="M101" s="43" t="s">
        <v>25</v>
      </c>
      <c r="N101" s="43" t="s">
        <v>7</v>
      </c>
      <c r="O101" s="43" t="s">
        <v>89</v>
      </c>
      <c r="P101" s="25"/>
      <c r="Q101" s="12"/>
      <c r="R101" s="57"/>
      <c r="T101" s="57"/>
      <c r="U101" s="24"/>
      <c r="V101" s="24"/>
      <c r="W101" s="26"/>
      <c r="Y101" s="14"/>
    </row>
    <row r="102" spans="1:58" ht="15" x14ac:dyDescent="0.25">
      <c r="B102" s="3">
        <v>2016</v>
      </c>
      <c r="C102" s="81" t="str">
        <f>IFERROR(C96/C90,"")</f>
        <v/>
      </c>
      <c r="D102" s="81" t="str">
        <f t="shared" ref="D102:O105" si="47">IFERROR(D96/D90,"")</f>
        <v/>
      </c>
      <c r="E102" s="81" t="str">
        <f t="shared" si="47"/>
        <v/>
      </c>
      <c r="F102" s="81" t="str">
        <f t="shared" si="47"/>
        <v/>
      </c>
      <c r="G102" s="81" t="str">
        <f t="shared" si="47"/>
        <v/>
      </c>
      <c r="H102" s="23" t="str">
        <f t="shared" si="47"/>
        <v/>
      </c>
      <c r="I102" s="81" t="str">
        <f t="shared" si="47"/>
        <v/>
      </c>
      <c r="J102" s="23" t="str">
        <f t="shared" si="47"/>
        <v/>
      </c>
      <c r="K102" s="81" t="str">
        <f t="shared" si="47"/>
        <v/>
      </c>
      <c r="L102" s="81" t="str">
        <f t="shared" si="47"/>
        <v/>
      </c>
      <c r="M102" s="81" t="str">
        <f t="shared" si="47"/>
        <v/>
      </c>
      <c r="N102" s="81" t="str">
        <f t="shared" si="47"/>
        <v/>
      </c>
      <c r="O102" s="81" t="str">
        <f t="shared" si="47"/>
        <v/>
      </c>
      <c r="P102" s="98"/>
      <c r="Q102" s="7"/>
      <c r="R102" s="7"/>
      <c r="T102" s="8"/>
    </row>
    <row r="103" spans="1:58" ht="15" x14ac:dyDescent="0.25">
      <c r="B103" s="3">
        <v>2030</v>
      </c>
      <c r="C103" s="81" t="str">
        <f t="shared" ref="C103:N105" si="48">IFERROR(C97/C91,"")</f>
        <v/>
      </c>
      <c r="D103" s="81" t="str">
        <f t="shared" si="48"/>
        <v/>
      </c>
      <c r="E103" s="81" t="str">
        <f t="shared" si="48"/>
        <v/>
      </c>
      <c r="F103" s="81" t="str">
        <f t="shared" si="48"/>
        <v/>
      </c>
      <c r="G103" s="81" t="str">
        <f t="shared" si="48"/>
        <v/>
      </c>
      <c r="H103" s="23" t="str">
        <f t="shared" si="48"/>
        <v/>
      </c>
      <c r="I103" s="81" t="str">
        <f t="shared" si="48"/>
        <v/>
      </c>
      <c r="J103" s="23" t="str">
        <f t="shared" si="48"/>
        <v/>
      </c>
      <c r="K103" s="81" t="str">
        <f t="shared" si="48"/>
        <v/>
      </c>
      <c r="L103" s="81" t="str">
        <f t="shared" si="48"/>
        <v/>
      </c>
      <c r="M103" s="81" t="str">
        <f t="shared" si="48"/>
        <v/>
      </c>
      <c r="N103" s="81" t="str">
        <f t="shared" si="48"/>
        <v/>
      </c>
      <c r="O103" s="81" t="str">
        <f t="shared" si="47"/>
        <v/>
      </c>
      <c r="P103" s="98"/>
      <c r="Q103" s="7"/>
      <c r="R103" s="7"/>
      <c r="T103" s="8"/>
    </row>
    <row r="104" spans="1:58" ht="15" x14ac:dyDescent="0.25">
      <c r="B104" s="3">
        <v>2040</v>
      </c>
      <c r="C104" s="81" t="str">
        <f t="shared" si="48"/>
        <v/>
      </c>
      <c r="D104" s="81" t="str">
        <f t="shared" si="48"/>
        <v/>
      </c>
      <c r="E104" s="81" t="str">
        <f t="shared" si="48"/>
        <v/>
      </c>
      <c r="F104" s="81" t="str">
        <f t="shared" si="48"/>
        <v/>
      </c>
      <c r="G104" s="81" t="str">
        <f t="shared" si="48"/>
        <v/>
      </c>
      <c r="H104" s="23" t="str">
        <f t="shared" si="48"/>
        <v/>
      </c>
      <c r="I104" s="81" t="str">
        <f t="shared" si="48"/>
        <v/>
      </c>
      <c r="J104" s="23" t="str">
        <f t="shared" si="48"/>
        <v/>
      </c>
      <c r="K104" s="81" t="str">
        <f t="shared" si="48"/>
        <v/>
      </c>
      <c r="L104" s="81" t="str">
        <f t="shared" si="48"/>
        <v/>
      </c>
      <c r="M104" s="81" t="str">
        <f t="shared" si="48"/>
        <v/>
      </c>
      <c r="N104" s="81" t="str">
        <f t="shared" si="48"/>
        <v/>
      </c>
      <c r="O104" s="81" t="str">
        <f t="shared" si="47"/>
        <v/>
      </c>
      <c r="P104" s="98"/>
      <c r="Q104" s="7"/>
      <c r="R104" s="7"/>
      <c r="T104" s="8"/>
    </row>
    <row r="105" spans="1:58" ht="15" x14ac:dyDescent="0.25">
      <c r="B105" s="3">
        <v>2050</v>
      </c>
      <c r="C105" s="81" t="str">
        <f t="shared" si="48"/>
        <v/>
      </c>
      <c r="D105" s="81" t="str">
        <f t="shared" si="48"/>
        <v/>
      </c>
      <c r="E105" s="81" t="str">
        <f t="shared" si="48"/>
        <v/>
      </c>
      <c r="F105" s="81" t="str">
        <f t="shared" si="48"/>
        <v/>
      </c>
      <c r="G105" s="81" t="str">
        <f t="shared" si="48"/>
        <v/>
      </c>
      <c r="H105" s="23" t="str">
        <f t="shared" si="48"/>
        <v/>
      </c>
      <c r="I105" s="81" t="str">
        <f t="shared" si="48"/>
        <v/>
      </c>
      <c r="J105" s="23" t="str">
        <f t="shared" si="48"/>
        <v/>
      </c>
      <c r="K105" s="81" t="str">
        <f t="shared" si="48"/>
        <v/>
      </c>
      <c r="L105" s="81" t="str">
        <f t="shared" si="48"/>
        <v/>
      </c>
      <c r="M105" s="81" t="str">
        <f t="shared" si="48"/>
        <v/>
      </c>
      <c r="N105" s="81" t="str">
        <f t="shared" si="48"/>
        <v/>
      </c>
      <c r="O105" s="81" t="str">
        <f t="shared" si="47"/>
        <v/>
      </c>
      <c r="P105" s="98"/>
      <c r="Q105" s="7"/>
      <c r="R105" s="7"/>
      <c r="T105" s="8"/>
    </row>
    <row r="106" spans="1:58" ht="15" x14ac:dyDescent="0.25"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</row>
    <row r="107" spans="1:58" s="9" customFormat="1" ht="21" x14ac:dyDescent="0.35">
      <c r="B107" s="10" t="s">
        <v>17</v>
      </c>
    </row>
    <row r="108" spans="1:58" s="32" customFormat="1" ht="21" x14ac:dyDescent="0.35">
      <c r="B108" s="31"/>
      <c r="P108" s="58"/>
    </row>
    <row r="109" spans="1:58" ht="30" x14ac:dyDescent="0.25">
      <c r="B109" s="43" t="s">
        <v>40</v>
      </c>
      <c r="C109" s="43" t="s">
        <v>0</v>
      </c>
      <c r="D109" s="43" t="s">
        <v>1</v>
      </c>
      <c r="E109" s="43" t="s">
        <v>28</v>
      </c>
      <c r="F109" s="2" t="s">
        <v>29</v>
      </c>
      <c r="G109" s="2" t="s">
        <v>6</v>
      </c>
      <c r="H109" s="43" t="s">
        <v>2</v>
      </c>
      <c r="I109" s="43" t="s">
        <v>3</v>
      </c>
      <c r="J109" s="43" t="s">
        <v>4</v>
      </c>
      <c r="K109" s="43" t="s">
        <v>9</v>
      </c>
      <c r="L109" s="43" t="s">
        <v>8</v>
      </c>
      <c r="M109" s="43" t="s">
        <v>25</v>
      </c>
      <c r="N109" s="43" t="s">
        <v>7</v>
      </c>
      <c r="O109" s="43" t="s">
        <v>89</v>
      </c>
      <c r="P109" s="25"/>
      <c r="Q109" s="43" t="s">
        <v>5</v>
      </c>
      <c r="R109" s="43" t="s">
        <v>91</v>
      </c>
      <c r="T109" s="43" t="s">
        <v>10</v>
      </c>
    </row>
    <row r="110" spans="1:58" ht="15" x14ac:dyDescent="0.25">
      <c r="B110" s="3">
        <v>2016</v>
      </c>
      <c r="C110" s="51">
        <f>Inputs_Summary!E$5*C34/1000000</f>
        <v>210.12155916232655</v>
      </c>
      <c r="D110" s="51">
        <f>Inputs_Summary!F$5*D34/1000000</f>
        <v>0</v>
      </c>
      <c r="E110" s="51">
        <f>Inputs_Summary!G$5*E34/1000000</f>
        <v>0.27748016944768411</v>
      </c>
      <c r="F110" s="51">
        <f>Inputs_Summary!H$5*F34/1000000</f>
        <v>1.1619560473070238</v>
      </c>
      <c r="G110" s="51">
        <f>Inputs_Summary!I$5*G34/1000000</f>
        <v>0</v>
      </c>
      <c r="H110" s="51">
        <f>Inputs_Summary!J$5*H34/1000000</f>
        <v>0</v>
      </c>
      <c r="I110" s="51">
        <f>Inputs_Summary!K$5*I34/1000000</f>
        <v>0</v>
      </c>
      <c r="J110" s="51">
        <f>Inputs_Summary!L$5*J34/1000000</f>
        <v>0</v>
      </c>
      <c r="K110" s="51">
        <f>Inputs_Summary!M$5*K34/1000000</f>
        <v>0</v>
      </c>
      <c r="L110" s="51">
        <f>Inputs_Summary!N$5*L34/1000000</f>
        <v>0</v>
      </c>
      <c r="M110" s="51">
        <f>Inputs_Summary!O$5*M34/1000000</f>
        <v>0</v>
      </c>
      <c r="N110" s="51">
        <f>Inputs_Summary!P$5*N34/1000000</f>
        <v>5.9887859519957903E-4</v>
      </c>
      <c r="O110" s="51">
        <f>Inputs_Summary!R$5*O34/1000000</f>
        <v>0</v>
      </c>
      <c r="P110" s="97"/>
      <c r="Q110" s="39">
        <f>G110+N110</f>
        <v>5.9887859519957903E-4</v>
      </c>
      <c r="R110" s="5">
        <f>SUM(K110:L110)</f>
        <v>0</v>
      </c>
      <c r="T110" s="5">
        <f>SUM(C110:O110)</f>
        <v>211.56159425767646</v>
      </c>
    </row>
    <row r="111" spans="1:58" ht="15" x14ac:dyDescent="0.25">
      <c r="B111" s="3">
        <v>2030</v>
      </c>
      <c r="C111" s="51">
        <f>Inputs_Summary!E$5*C35/1000000</f>
        <v>139.90300128148883</v>
      </c>
      <c r="D111" s="51">
        <f>Inputs_Summary!F$5*D35/1000000</f>
        <v>0</v>
      </c>
      <c r="E111" s="51">
        <f>Inputs_Summary!G$5*E35/1000000</f>
        <v>0.81604957795915734</v>
      </c>
      <c r="F111" s="51">
        <f>Inputs_Summary!H$5*F35/1000000</f>
        <v>6.4987354461027602E-2</v>
      </c>
      <c r="G111" s="51">
        <f>Inputs_Summary!I$5*G35/1000000</f>
        <v>0</v>
      </c>
      <c r="H111" s="51">
        <f>Inputs_Summary!J$5*H35/1000000</f>
        <v>0</v>
      </c>
      <c r="I111" s="51">
        <f>Inputs_Summary!K$5*I35/1000000</f>
        <v>0</v>
      </c>
      <c r="J111" s="51">
        <f>Inputs_Summary!L$5*J35/1000000</f>
        <v>0</v>
      </c>
      <c r="K111" s="51">
        <f>Inputs_Summary!M$5*K35/1000000</f>
        <v>0</v>
      </c>
      <c r="L111" s="51">
        <f>Inputs_Summary!N$5*L35/1000000</f>
        <v>0</v>
      </c>
      <c r="M111" s="51">
        <f>Inputs_Summary!O$5*M35/1000000</f>
        <v>0</v>
      </c>
      <c r="N111" s="51">
        <f>Inputs_Summary!P$5*N35/1000000</f>
        <v>4.4165371004214083E-4</v>
      </c>
      <c r="O111" s="51">
        <f>Inputs_Summary!R$5*O35/1000000</f>
        <v>0</v>
      </c>
      <c r="P111" s="97"/>
      <c r="Q111" s="39">
        <f>G111+N111</f>
        <v>4.4165371004214083E-4</v>
      </c>
      <c r="R111" s="5">
        <f>SUM(K111:L111)</f>
        <v>0</v>
      </c>
      <c r="T111" s="5">
        <f t="shared" ref="T111:T113" si="49">SUM(C111:O111)</f>
        <v>140.78447986761907</v>
      </c>
    </row>
    <row r="112" spans="1:58" ht="15" x14ac:dyDescent="0.25">
      <c r="B112" s="3">
        <v>2040</v>
      </c>
      <c r="C112" s="51">
        <f>Inputs_Summary!E$5*C36/1000000</f>
        <v>45.223791530845233</v>
      </c>
      <c r="D112" s="51">
        <f>Inputs_Summary!F$5*D36/1000000</f>
        <v>0</v>
      </c>
      <c r="E112" s="51">
        <f>Inputs_Summary!G$5*E36/1000000</f>
        <v>0.84952281838662658</v>
      </c>
      <c r="F112" s="51">
        <f>Inputs_Summary!H$5*F36/1000000</f>
        <v>4.8420495914378275E-2</v>
      </c>
      <c r="G112" s="51">
        <f>Inputs_Summary!I$5*G36/1000000</f>
        <v>0</v>
      </c>
      <c r="H112" s="51">
        <f>Inputs_Summary!J$5*H36/1000000</f>
        <v>0</v>
      </c>
      <c r="I112" s="51">
        <f>Inputs_Summary!K$5*I36/1000000</f>
        <v>0</v>
      </c>
      <c r="J112" s="51">
        <f>Inputs_Summary!L$5*J36/1000000</f>
        <v>0</v>
      </c>
      <c r="K112" s="51">
        <f>Inputs_Summary!M$5*K36/1000000</f>
        <v>0</v>
      </c>
      <c r="L112" s="51">
        <f>Inputs_Summary!N$5*L36/1000000</f>
        <v>0</v>
      </c>
      <c r="M112" s="51">
        <f>Inputs_Summary!O$5*M36/1000000</f>
        <v>0</v>
      </c>
      <c r="N112" s="51">
        <f>Inputs_Summary!P$5*N36/1000000</f>
        <v>3.7819725322206027E-4</v>
      </c>
      <c r="O112" s="51">
        <f>Inputs_Summary!R$5*O36/1000000</f>
        <v>0</v>
      </c>
      <c r="P112" s="97"/>
      <c r="Q112" s="39">
        <f>G112+N112</f>
        <v>3.7819725322206027E-4</v>
      </c>
      <c r="R112" s="5">
        <f>SUM(K112:L112)</f>
        <v>0</v>
      </c>
      <c r="T112" s="5">
        <f t="shared" si="49"/>
        <v>46.122113042399455</v>
      </c>
    </row>
    <row r="113" spans="2:20" ht="15" x14ac:dyDescent="0.25">
      <c r="B113" s="3">
        <v>2050</v>
      </c>
      <c r="C113" s="51">
        <f>Inputs_Summary!E$5*C37/1000000</f>
        <v>0</v>
      </c>
      <c r="D113" s="51">
        <f>Inputs_Summary!F$5*D37/1000000</f>
        <v>0</v>
      </c>
      <c r="E113" s="51">
        <f>Inputs_Summary!G$5*E37/1000000</f>
        <v>0.8978509658767605</v>
      </c>
      <c r="F113" s="51">
        <f>Inputs_Summary!H$5*F37/1000000</f>
        <v>0</v>
      </c>
      <c r="G113" s="51">
        <f>Inputs_Summary!I$5*G37/1000000</f>
        <v>0</v>
      </c>
      <c r="H113" s="51">
        <f>Inputs_Summary!J$5*H37/1000000</f>
        <v>0</v>
      </c>
      <c r="I113" s="51">
        <f>Inputs_Summary!K$5*I37/1000000</f>
        <v>0</v>
      </c>
      <c r="J113" s="51">
        <f>Inputs_Summary!L$5*J37/1000000</f>
        <v>0</v>
      </c>
      <c r="K113" s="51">
        <f>Inputs_Summary!M$5*K37/1000000</f>
        <v>0</v>
      </c>
      <c r="L113" s="51">
        <f>Inputs_Summary!N$5*L37/1000000</f>
        <v>0</v>
      </c>
      <c r="M113" s="51">
        <f>Inputs_Summary!O$5*M37/1000000</f>
        <v>0</v>
      </c>
      <c r="N113" s="51">
        <f>Inputs_Summary!P$5*N37/1000000</f>
        <v>2.812818859670039E-4</v>
      </c>
      <c r="O113" s="51">
        <f>Inputs_Summary!R$5*O37/1000000</f>
        <v>0</v>
      </c>
      <c r="P113" s="97"/>
      <c r="Q113" s="39">
        <f>G113+N113</f>
        <v>2.812818859670039E-4</v>
      </c>
      <c r="R113" s="5">
        <f>SUM(K113:L113)</f>
        <v>0</v>
      </c>
      <c r="T113" s="5">
        <f t="shared" si="49"/>
        <v>0.89813224776272749</v>
      </c>
    </row>
    <row r="114" spans="2:20" ht="15" x14ac:dyDescent="0.25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28"/>
      <c r="Q114" s="5"/>
      <c r="R114" s="5"/>
      <c r="S114" s="5"/>
      <c r="T114" s="5"/>
    </row>
    <row r="115" spans="2:20" ht="30" x14ac:dyDescent="0.25">
      <c r="B115" s="43" t="s">
        <v>41</v>
      </c>
      <c r="C115" s="43" t="s">
        <v>0</v>
      </c>
      <c r="D115" s="43" t="s">
        <v>1</v>
      </c>
      <c r="E115" s="43" t="s">
        <v>28</v>
      </c>
      <c r="F115" s="2" t="s">
        <v>29</v>
      </c>
      <c r="G115" s="2" t="s">
        <v>6</v>
      </c>
      <c r="H115" s="43" t="s">
        <v>2</v>
      </c>
      <c r="I115" s="43" t="s">
        <v>3</v>
      </c>
      <c r="J115" s="43" t="s">
        <v>4</v>
      </c>
      <c r="K115" s="43" t="s">
        <v>9</v>
      </c>
      <c r="L115" s="43" t="s">
        <v>8</v>
      </c>
      <c r="M115" s="43" t="s">
        <v>25</v>
      </c>
      <c r="N115" s="43" t="s">
        <v>7</v>
      </c>
      <c r="O115" s="43" t="s">
        <v>89</v>
      </c>
      <c r="P115" s="25"/>
      <c r="Q115" s="43" t="s">
        <v>5</v>
      </c>
      <c r="R115" s="43" t="s">
        <v>91</v>
      </c>
      <c r="T115" s="43" t="s">
        <v>10</v>
      </c>
    </row>
    <row r="116" spans="2:20" ht="15" x14ac:dyDescent="0.25">
      <c r="B116" s="3">
        <v>2016</v>
      </c>
      <c r="C116" s="51">
        <f>Inputs_Summary!E$8*C40/1000000</f>
        <v>0</v>
      </c>
      <c r="D116" s="51">
        <f>Inputs_Summary!F$8*D40/1000000</f>
        <v>0</v>
      </c>
      <c r="E116" s="51">
        <f>Inputs_Summary!G$8*E40/1000000</f>
        <v>0</v>
      </c>
      <c r="F116" s="51">
        <f>Inputs_Summary!H$8*F40/1000000</f>
        <v>0</v>
      </c>
      <c r="G116" s="51">
        <f>Inputs_Summary!I$8*G40/1000000</f>
        <v>0</v>
      </c>
      <c r="H116" s="51">
        <f>Inputs_Summary!J$8*H40/1000000</f>
        <v>0</v>
      </c>
      <c r="I116" s="51">
        <f>Inputs_Summary!K$8*I40/1000000</f>
        <v>0</v>
      </c>
      <c r="J116" s="51">
        <f>Inputs_Summary!L$8*J40/1000000</f>
        <v>0</v>
      </c>
      <c r="K116" s="51">
        <f>Inputs_Summary!M$8*K40/1000000</f>
        <v>0</v>
      </c>
      <c r="L116" s="51">
        <f>Inputs_Summary!N$8*L40/1000000</f>
        <v>0</v>
      </c>
      <c r="M116" s="51">
        <f>Inputs_Summary!O$8*M40/1000000</f>
        <v>0</v>
      </c>
      <c r="N116" s="51">
        <f>Inputs_Summary!P$8*N40/1000000</f>
        <v>0</v>
      </c>
      <c r="O116" s="51">
        <f>Inputs_Summary!R$8*O40/1000000</f>
        <v>0</v>
      </c>
      <c r="P116" s="97"/>
      <c r="Q116" s="39">
        <f>G116+N116</f>
        <v>0</v>
      </c>
      <c r="R116" s="5">
        <f>SUM(K116:L116)</f>
        <v>0</v>
      </c>
      <c r="T116" s="5">
        <f>SUM(C116:O116)</f>
        <v>0</v>
      </c>
    </row>
    <row r="117" spans="2:20" ht="15" x14ac:dyDescent="0.25">
      <c r="B117" s="3">
        <v>2030</v>
      </c>
      <c r="C117" s="51">
        <f>Inputs_Summary!E$8*C41/1000000</f>
        <v>65.851941277195252</v>
      </c>
      <c r="D117" s="51">
        <f>Inputs_Summary!F$8*D41/1000000</f>
        <v>0</v>
      </c>
      <c r="E117" s="51">
        <f>Inputs_Summary!G$8*E41/1000000</f>
        <v>0</v>
      </c>
      <c r="F117" s="51">
        <f>Inputs_Summary!H$8*F41/1000000</f>
        <v>0</v>
      </c>
      <c r="G117" s="51">
        <f>Inputs_Summary!I$8*G41/1000000</f>
        <v>0</v>
      </c>
      <c r="H117" s="51">
        <f>Inputs_Summary!J$8*H41/1000000</f>
        <v>0</v>
      </c>
      <c r="I117" s="51">
        <f>Inputs_Summary!K$8*I41/1000000</f>
        <v>0</v>
      </c>
      <c r="J117" s="51">
        <f>Inputs_Summary!L$8*J41/1000000</f>
        <v>0</v>
      </c>
      <c r="K117" s="51">
        <f>Inputs_Summary!M$8*K41/1000000</f>
        <v>0</v>
      </c>
      <c r="L117" s="51">
        <f>Inputs_Summary!N$8*L41/1000000</f>
        <v>0</v>
      </c>
      <c r="M117" s="51">
        <f>Inputs_Summary!O$8*M41/1000000</f>
        <v>0</v>
      </c>
      <c r="N117" s="51">
        <f>Inputs_Summary!P$8*N41/1000000</f>
        <v>5.6833590585561383E-4</v>
      </c>
      <c r="O117" s="51">
        <f>Inputs_Summary!R$8*O41/1000000</f>
        <v>0</v>
      </c>
      <c r="P117" s="97"/>
      <c r="Q117" s="39">
        <f>G117+N117</f>
        <v>5.6833590585561383E-4</v>
      </c>
      <c r="R117" s="5">
        <f>SUM(K117:L117)</f>
        <v>0</v>
      </c>
      <c r="T117" s="5">
        <f t="shared" ref="T117:T119" si="50">SUM(C117:O117)</f>
        <v>65.852509613101105</v>
      </c>
    </row>
    <row r="118" spans="2:20" ht="15" x14ac:dyDescent="0.25">
      <c r="B118" s="3">
        <v>2040</v>
      </c>
      <c r="C118" s="51">
        <f>Inputs_Summary!E$8*C42/1000000</f>
        <v>69.243864389889609</v>
      </c>
      <c r="D118" s="51">
        <f>Inputs_Summary!F$8*D42/1000000</f>
        <v>0</v>
      </c>
      <c r="E118" s="51">
        <f>Inputs_Summary!G$8*E42/1000000</f>
        <v>0</v>
      </c>
      <c r="F118" s="51">
        <f>Inputs_Summary!H$8*F42/1000000</f>
        <v>0</v>
      </c>
      <c r="G118" s="51">
        <f>Inputs_Summary!I$8*G42/1000000</f>
        <v>0</v>
      </c>
      <c r="H118" s="51">
        <f>Inputs_Summary!J$8*H42/1000000</f>
        <v>0</v>
      </c>
      <c r="I118" s="51">
        <f>Inputs_Summary!K$8*I42/1000000</f>
        <v>0</v>
      </c>
      <c r="J118" s="51">
        <f>Inputs_Summary!L$8*J42/1000000</f>
        <v>0</v>
      </c>
      <c r="K118" s="51">
        <f>Inputs_Summary!M$8*K42/1000000</f>
        <v>0</v>
      </c>
      <c r="L118" s="51">
        <f>Inputs_Summary!N$8*L42/1000000</f>
        <v>0</v>
      </c>
      <c r="M118" s="51">
        <f>Inputs_Summary!O$8*M42/1000000</f>
        <v>0</v>
      </c>
      <c r="N118" s="51">
        <f>Inputs_Summary!P$8*N42/1000000</f>
        <v>4.8685615603307175E-4</v>
      </c>
      <c r="O118" s="51">
        <f>Inputs_Summary!R$8*O42/1000000</f>
        <v>0</v>
      </c>
      <c r="P118" s="97"/>
      <c r="Q118" s="39">
        <f>G118+N118</f>
        <v>4.8685615603307175E-4</v>
      </c>
      <c r="R118" s="5">
        <f>SUM(K118:L118)</f>
        <v>0</v>
      </c>
      <c r="T118" s="5">
        <f t="shared" si="50"/>
        <v>69.244351246045639</v>
      </c>
    </row>
    <row r="119" spans="2:20" ht="15" x14ac:dyDescent="0.25">
      <c r="B119" s="3">
        <v>2050</v>
      </c>
      <c r="C119" s="51">
        <f>Inputs_Summary!E$8*C43/1000000</f>
        <v>71.248615674606356</v>
      </c>
      <c r="D119" s="51">
        <f>Inputs_Summary!F$8*D43/1000000</f>
        <v>0</v>
      </c>
      <c r="E119" s="51">
        <f>Inputs_Summary!G$8*E43/1000000</f>
        <v>0</v>
      </c>
      <c r="F119" s="51">
        <f>Inputs_Summary!H$8*F43/1000000</f>
        <v>0</v>
      </c>
      <c r="G119" s="51">
        <f>Inputs_Summary!I$8*G43/1000000</f>
        <v>0</v>
      </c>
      <c r="H119" s="51">
        <f>Inputs_Summary!J$8*H43/1000000</f>
        <v>0</v>
      </c>
      <c r="I119" s="51">
        <f>Inputs_Summary!K$8*I43/1000000</f>
        <v>0</v>
      </c>
      <c r="J119" s="51">
        <f>Inputs_Summary!L$8*J43/1000000</f>
        <v>0</v>
      </c>
      <c r="K119" s="51">
        <f>Inputs_Summary!M$8*K43/1000000</f>
        <v>0</v>
      </c>
      <c r="L119" s="51">
        <f>Inputs_Summary!N$8*L43/1000000</f>
        <v>0</v>
      </c>
      <c r="M119" s="51">
        <f>Inputs_Summary!O$8*M43/1000000</f>
        <v>0</v>
      </c>
      <c r="N119" s="51">
        <f>Inputs_Summary!P$8*N43/1000000</f>
        <v>4.7687659827835762E-4</v>
      </c>
      <c r="O119" s="51">
        <f>Inputs_Summary!R$8*O43/1000000</f>
        <v>0</v>
      </c>
      <c r="P119" s="97"/>
      <c r="Q119" s="39">
        <f>G119+N119</f>
        <v>4.7687659827835762E-4</v>
      </c>
      <c r="R119" s="5">
        <f>SUM(K119:L119)</f>
        <v>0</v>
      </c>
      <c r="T119" s="5">
        <f t="shared" si="50"/>
        <v>71.24909255120464</v>
      </c>
    </row>
    <row r="120" spans="2:20" ht="15" x14ac:dyDescent="0.25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28"/>
      <c r="Q120" s="5"/>
      <c r="R120" s="5"/>
      <c r="S120" s="5"/>
      <c r="T120" s="5"/>
    </row>
    <row r="121" spans="2:20" ht="30" x14ac:dyDescent="0.25">
      <c r="B121" s="43" t="s">
        <v>42</v>
      </c>
      <c r="C121" s="43" t="s">
        <v>0</v>
      </c>
      <c r="D121" s="43" t="s">
        <v>1</v>
      </c>
      <c r="E121" s="43" t="s">
        <v>28</v>
      </c>
      <c r="F121" s="2" t="s">
        <v>29</v>
      </c>
      <c r="G121" s="2" t="s">
        <v>6</v>
      </c>
      <c r="H121" s="43" t="s">
        <v>2</v>
      </c>
      <c r="I121" s="43" t="s">
        <v>3</v>
      </c>
      <c r="J121" s="43" t="s">
        <v>4</v>
      </c>
      <c r="K121" s="43" t="s">
        <v>9</v>
      </c>
      <c r="L121" s="43" t="s">
        <v>8</v>
      </c>
      <c r="M121" s="43" t="s">
        <v>25</v>
      </c>
      <c r="N121" s="43" t="s">
        <v>7</v>
      </c>
      <c r="O121" s="43" t="s">
        <v>89</v>
      </c>
      <c r="P121" s="25"/>
      <c r="Q121" s="43" t="s">
        <v>5</v>
      </c>
      <c r="R121" s="43" t="s">
        <v>91</v>
      </c>
      <c r="T121" s="43" t="s">
        <v>10</v>
      </c>
    </row>
    <row r="122" spans="2:20" ht="15" x14ac:dyDescent="0.25">
      <c r="B122" s="3">
        <v>2016</v>
      </c>
      <c r="C122" s="51">
        <f>Inputs_Summary!E$11*C46/1000000</f>
        <v>0</v>
      </c>
      <c r="D122" s="51">
        <f>Inputs_Summary!F$11*D46/1000000</f>
        <v>0</v>
      </c>
      <c r="E122" s="51">
        <f>Inputs_Summary!G$11*E46/1000000</f>
        <v>0</v>
      </c>
      <c r="F122" s="51">
        <f>Inputs_Summary!H$11*F46/1000000</f>
        <v>0</v>
      </c>
      <c r="G122" s="51">
        <f>Inputs_Summary!I$11*G46/1000000</f>
        <v>0</v>
      </c>
      <c r="H122" s="51">
        <f>Inputs_Summary!J$11*H46/1000000</f>
        <v>0</v>
      </c>
      <c r="I122" s="51">
        <f>Inputs_Summary!K$11*I46/1000000</f>
        <v>0</v>
      </c>
      <c r="J122" s="51">
        <f>Inputs_Summary!L$11*J46/1000000</f>
        <v>0</v>
      </c>
      <c r="K122" s="51">
        <f>Inputs_Summary!M$11*K46/1000000</f>
        <v>0</v>
      </c>
      <c r="L122" s="51">
        <f>Inputs_Summary!N$11*L46/1000000</f>
        <v>0</v>
      </c>
      <c r="M122" s="51">
        <f>Inputs_Summary!O$11*M46/1000000</f>
        <v>0</v>
      </c>
      <c r="N122" s="51">
        <f>Inputs_Summary!P$11*N46/1000000</f>
        <v>0</v>
      </c>
      <c r="O122" s="51">
        <f>Inputs_Summary!R$11*O46/1000000</f>
        <v>0</v>
      </c>
      <c r="P122" s="97"/>
      <c r="Q122" s="39">
        <f>G122+N122</f>
        <v>0</v>
      </c>
      <c r="R122" s="5">
        <f>SUM(K122:L122)</f>
        <v>0</v>
      </c>
      <c r="T122" s="5">
        <f>SUM(C122:O122)</f>
        <v>0</v>
      </c>
    </row>
    <row r="123" spans="2:20" ht="15" x14ac:dyDescent="0.25">
      <c r="B123" s="3">
        <v>2030</v>
      </c>
      <c r="C123" s="51">
        <f>Inputs_Summary!E$11*C47/1000000</f>
        <v>0</v>
      </c>
      <c r="D123" s="51">
        <f>Inputs_Summary!F$11*D47/1000000</f>
        <v>0</v>
      </c>
      <c r="E123" s="51">
        <f>Inputs_Summary!G$11*E47/1000000</f>
        <v>7.3717726324539834</v>
      </c>
      <c r="F123" s="51">
        <f>Inputs_Summary!H$11*F47/1000000</f>
        <v>0.47950129102325778</v>
      </c>
      <c r="G123" s="51">
        <f>Inputs_Summary!I$11*G47/1000000</f>
        <v>0</v>
      </c>
      <c r="H123" s="51">
        <f>Inputs_Summary!J$11*H47/1000000</f>
        <v>0</v>
      </c>
      <c r="I123" s="51">
        <f>Inputs_Summary!K$11*I47/1000000</f>
        <v>0</v>
      </c>
      <c r="J123" s="51">
        <f>Inputs_Summary!L$11*J47/1000000</f>
        <v>0</v>
      </c>
      <c r="K123" s="51">
        <f>Inputs_Summary!M$11*K47/1000000</f>
        <v>0</v>
      </c>
      <c r="L123" s="51">
        <f>Inputs_Summary!N$11*L47/1000000</f>
        <v>0</v>
      </c>
      <c r="M123" s="51">
        <f>Inputs_Summary!O$11*M47/1000000</f>
        <v>9.4858649039074109E-7</v>
      </c>
      <c r="N123" s="51">
        <f>Inputs_Summary!P$11*N47/1000000</f>
        <v>0</v>
      </c>
      <c r="O123" s="51">
        <f>Inputs_Summary!R$11*O47/1000000</f>
        <v>0</v>
      </c>
      <c r="P123" s="97"/>
      <c r="Q123" s="39">
        <f>G123+N123</f>
        <v>0</v>
      </c>
      <c r="R123" s="5">
        <f>SUM(K123:L123)</f>
        <v>0</v>
      </c>
      <c r="T123" s="5">
        <f t="shared" ref="T123:T125" si="51">SUM(C123:O123)</f>
        <v>7.8512748720637315</v>
      </c>
    </row>
    <row r="124" spans="2:20" ht="15" x14ac:dyDescent="0.25">
      <c r="B124" s="3">
        <v>2040</v>
      </c>
      <c r="C124" s="51">
        <f>Inputs_Summary!E$11*C48/1000000</f>
        <v>25.665509218792064</v>
      </c>
      <c r="D124" s="51">
        <f>Inputs_Summary!F$11*D48/1000000</f>
        <v>0</v>
      </c>
      <c r="E124" s="51">
        <f>Inputs_Summary!G$11*E48/1000000</f>
        <v>24.532965902779083</v>
      </c>
      <c r="F124" s="51">
        <f>Inputs_Summary!H$11*F48/1000000</f>
        <v>0.46460618698796297</v>
      </c>
      <c r="G124" s="51">
        <f>Inputs_Summary!I$11*G48/1000000</f>
        <v>0</v>
      </c>
      <c r="H124" s="51">
        <f>Inputs_Summary!J$11*H48/1000000</f>
        <v>0</v>
      </c>
      <c r="I124" s="51">
        <f>Inputs_Summary!K$11*I48/1000000</f>
        <v>0</v>
      </c>
      <c r="J124" s="51">
        <f>Inputs_Summary!L$11*J48/1000000</f>
        <v>0</v>
      </c>
      <c r="K124" s="51">
        <f>Inputs_Summary!M$11*K48/1000000</f>
        <v>0</v>
      </c>
      <c r="L124" s="51">
        <f>Inputs_Summary!N$11*L48/1000000</f>
        <v>0</v>
      </c>
      <c r="M124" s="51">
        <f>Inputs_Summary!O$11*M48/1000000</f>
        <v>1.8226978613861906E-6</v>
      </c>
      <c r="N124" s="51">
        <f>Inputs_Summary!P$11*N48/1000000</f>
        <v>0</v>
      </c>
      <c r="O124" s="51">
        <f>Inputs_Summary!R$11*O48/1000000</f>
        <v>0</v>
      </c>
      <c r="P124" s="97"/>
      <c r="Q124" s="39">
        <f>G124+N124</f>
        <v>0</v>
      </c>
      <c r="R124" s="5">
        <f>SUM(K124:L124)</f>
        <v>0</v>
      </c>
      <c r="T124" s="5">
        <f t="shared" si="51"/>
        <v>50.663083131256975</v>
      </c>
    </row>
    <row r="125" spans="2:20" ht="15" x14ac:dyDescent="0.25">
      <c r="B125" s="3">
        <v>2050</v>
      </c>
      <c r="C125" s="51">
        <f>Inputs_Summary!E$11*C49/1000000</f>
        <v>55.43379417546408</v>
      </c>
      <c r="D125" s="51">
        <f>Inputs_Summary!F$11*D49/1000000</f>
        <v>0</v>
      </c>
      <c r="E125" s="51">
        <f>Inputs_Summary!G$11*E49/1000000</f>
        <v>45.382556807660954</v>
      </c>
      <c r="F125" s="51">
        <f>Inputs_Summary!H$11*F49/1000000</f>
        <v>0.73835070338985576</v>
      </c>
      <c r="G125" s="51">
        <f>Inputs_Summary!I$11*G49/1000000</f>
        <v>0</v>
      </c>
      <c r="H125" s="51">
        <f>Inputs_Summary!J$11*H49/1000000</f>
        <v>0</v>
      </c>
      <c r="I125" s="51">
        <f>Inputs_Summary!K$11*I49/1000000</f>
        <v>0</v>
      </c>
      <c r="J125" s="51">
        <f>Inputs_Summary!L$11*J49/1000000</f>
        <v>0</v>
      </c>
      <c r="K125" s="51">
        <f>Inputs_Summary!M$11*K49/1000000</f>
        <v>0</v>
      </c>
      <c r="L125" s="51">
        <f>Inputs_Summary!N$11*L49/1000000</f>
        <v>0</v>
      </c>
      <c r="M125" s="51">
        <f>Inputs_Summary!O$11*M49/1000000</f>
        <v>1.816527375003987E-6</v>
      </c>
      <c r="N125" s="51">
        <f>Inputs_Summary!P$11*N49/1000000</f>
        <v>0</v>
      </c>
      <c r="O125" s="51">
        <f>Inputs_Summary!R$11*O49/1000000</f>
        <v>0</v>
      </c>
      <c r="P125" s="97"/>
      <c r="Q125" s="39">
        <f>G125+N125</f>
        <v>0</v>
      </c>
      <c r="R125" s="5">
        <f>SUM(K125:L125)</f>
        <v>0</v>
      </c>
      <c r="T125" s="5">
        <f t="shared" si="51"/>
        <v>101.55470350304226</v>
      </c>
    </row>
    <row r="126" spans="2:20" ht="15" x14ac:dyDescent="0.25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28"/>
    </row>
    <row r="127" spans="2:20" ht="30" x14ac:dyDescent="0.25">
      <c r="B127" s="43" t="s">
        <v>24</v>
      </c>
      <c r="C127" s="43" t="s">
        <v>0</v>
      </c>
      <c r="D127" s="43" t="s">
        <v>1</v>
      </c>
      <c r="E127" s="43" t="s">
        <v>28</v>
      </c>
      <c r="F127" s="2" t="s">
        <v>29</v>
      </c>
      <c r="G127" s="2" t="s">
        <v>6</v>
      </c>
      <c r="H127" s="43" t="s">
        <v>2</v>
      </c>
      <c r="I127" s="43" t="s">
        <v>3</v>
      </c>
      <c r="J127" s="43" t="s">
        <v>4</v>
      </c>
      <c r="K127" s="43" t="s">
        <v>9</v>
      </c>
      <c r="L127" s="43" t="s">
        <v>8</v>
      </c>
      <c r="M127" s="43" t="s">
        <v>25</v>
      </c>
      <c r="N127" s="43" t="s">
        <v>7</v>
      </c>
      <c r="O127" s="43" t="s">
        <v>89</v>
      </c>
      <c r="P127" s="25"/>
      <c r="Q127" s="43" t="s">
        <v>5</v>
      </c>
      <c r="R127" s="43" t="s">
        <v>91</v>
      </c>
      <c r="T127" s="43" t="s">
        <v>10</v>
      </c>
    </row>
    <row r="128" spans="2:20" ht="15" x14ac:dyDescent="0.25">
      <c r="B128" s="3">
        <v>2016</v>
      </c>
      <c r="C128" s="51">
        <f t="shared" ref="C128:O131" si="52">C110+C116+C122</f>
        <v>210.12155916232655</v>
      </c>
      <c r="D128" s="51">
        <f t="shared" si="52"/>
        <v>0</v>
      </c>
      <c r="E128" s="51">
        <f t="shared" si="52"/>
        <v>0.27748016944768411</v>
      </c>
      <c r="F128" s="51">
        <f t="shared" si="52"/>
        <v>1.1619560473070238</v>
      </c>
      <c r="G128" s="51">
        <f t="shared" si="52"/>
        <v>0</v>
      </c>
      <c r="H128" s="51">
        <f t="shared" si="52"/>
        <v>0</v>
      </c>
      <c r="I128" s="51">
        <f t="shared" si="52"/>
        <v>0</v>
      </c>
      <c r="J128" s="51">
        <f t="shared" si="52"/>
        <v>0</v>
      </c>
      <c r="K128" s="51">
        <f t="shared" si="52"/>
        <v>0</v>
      </c>
      <c r="L128" s="51">
        <f t="shared" si="52"/>
        <v>0</v>
      </c>
      <c r="M128" s="51">
        <f t="shared" si="52"/>
        <v>0</v>
      </c>
      <c r="N128" s="51">
        <f t="shared" si="52"/>
        <v>5.9887859519957903E-4</v>
      </c>
      <c r="O128" s="51">
        <f t="shared" si="52"/>
        <v>0</v>
      </c>
      <c r="P128" s="97"/>
      <c r="Q128" s="39">
        <f>G128+N128</f>
        <v>5.9887859519957903E-4</v>
      </c>
      <c r="R128" s="5">
        <f>SUM(K128:L128)</f>
        <v>0</v>
      </c>
      <c r="T128" s="5">
        <f>SUM(C128:O128)</f>
        <v>211.56159425767646</v>
      </c>
    </row>
    <row r="129" spans="2:20" ht="15" x14ac:dyDescent="0.25">
      <c r="B129" s="3">
        <v>2030</v>
      </c>
      <c r="C129" s="51">
        <f t="shared" si="52"/>
        <v>205.75494255868409</v>
      </c>
      <c r="D129" s="51">
        <f t="shared" si="52"/>
        <v>0</v>
      </c>
      <c r="E129" s="51">
        <f t="shared" si="52"/>
        <v>8.18782221041314</v>
      </c>
      <c r="F129" s="51">
        <f t="shared" si="52"/>
        <v>0.54448864548428544</v>
      </c>
      <c r="G129" s="51">
        <f t="shared" si="52"/>
        <v>0</v>
      </c>
      <c r="H129" s="51">
        <f t="shared" si="52"/>
        <v>0</v>
      </c>
      <c r="I129" s="51">
        <f t="shared" si="52"/>
        <v>0</v>
      </c>
      <c r="J129" s="51">
        <f t="shared" si="52"/>
        <v>0</v>
      </c>
      <c r="K129" s="51">
        <f t="shared" si="52"/>
        <v>0</v>
      </c>
      <c r="L129" s="51">
        <f t="shared" si="52"/>
        <v>0</v>
      </c>
      <c r="M129" s="51">
        <f t="shared" si="52"/>
        <v>9.4858649039074109E-7</v>
      </c>
      <c r="N129" s="51">
        <f t="shared" si="52"/>
        <v>1.0099896158977547E-3</v>
      </c>
      <c r="O129" s="51">
        <f t="shared" si="52"/>
        <v>0</v>
      </c>
      <c r="P129" s="97"/>
      <c r="Q129" s="39">
        <f>G129+N129</f>
        <v>1.0099896158977547E-3</v>
      </c>
      <c r="R129" s="5">
        <f>SUM(K129:L129)</f>
        <v>0</v>
      </c>
      <c r="T129" s="5">
        <f t="shared" ref="T129:T131" si="53">SUM(C129:O129)</f>
        <v>214.48826435278392</v>
      </c>
    </row>
    <row r="130" spans="2:20" ht="15" x14ac:dyDescent="0.25">
      <c r="B130" s="3">
        <v>2040</v>
      </c>
      <c r="C130" s="51">
        <f t="shared" si="52"/>
        <v>140.13316513952691</v>
      </c>
      <c r="D130" s="51">
        <f t="shared" si="52"/>
        <v>0</v>
      </c>
      <c r="E130" s="51">
        <f t="shared" si="52"/>
        <v>25.382488721165711</v>
      </c>
      <c r="F130" s="51">
        <f t="shared" si="52"/>
        <v>0.51302668290234121</v>
      </c>
      <c r="G130" s="51">
        <f t="shared" si="52"/>
        <v>0</v>
      </c>
      <c r="H130" s="51">
        <f t="shared" si="52"/>
        <v>0</v>
      </c>
      <c r="I130" s="51">
        <f t="shared" si="52"/>
        <v>0</v>
      </c>
      <c r="J130" s="51">
        <f t="shared" si="52"/>
        <v>0</v>
      </c>
      <c r="K130" s="51">
        <f t="shared" si="52"/>
        <v>0</v>
      </c>
      <c r="L130" s="51">
        <f t="shared" si="52"/>
        <v>0</v>
      </c>
      <c r="M130" s="51">
        <f t="shared" si="52"/>
        <v>1.8226978613861906E-6</v>
      </c>
      <c r="N130" s="51">
        <f t="shared" si="52"/>
        <v>8.6505340925513202E-4</v>
      </c>
      <c r="O130" s="51">
        <f t="shared" si="52"/>
        <v>0</v>
      </c>
      <c r="P130" s="97"/>
      <c r="Q130" s="39">
        <f>G130+N130</f>
        <v>8.6505340925513202E-4</v>
      </c>
      <c r="R130" s="5">
        <f>SUM(K130:L130)</f>
        <v>0</v>
      </c>
      <c r="T130" s="5">
        <f t="shared" si="53"/>
        <v>166.02954741970208</v>
      </c>
    </row>
    <row r="131" spans="2:20" ht="15" x14ac:dyDescent="0.25">
      <c r="B131" s="3">
        <v>2050</v>
      </c>
      <c r="C131" s="51">
        <f t="shared" si="52"/>
        <v>126.68240985007043</v>
      </c>
      <c r="D131" s="51">
        <f t="shared" si="52"/>
        <v>0</v>
      </c>
      <c r="E131" s="51">
        <f t="shared" si="52"/>
        <v>46.280407773537718</v>
      </c>
      <c r="F131" s="51">
        <f t="shared" si="52"/>
        <v>0.73835070338985576</v>
      </c>
      <c r="G131" s="51">
        <f t="shared" si="52"/>
        <v>0</v>
      </c>
      <c r="H131" s="51">
        <f t="shared" si="52"/>
        <v>0</v>
      </c>
      <c r="I131" s="51">
        <f t="shared" si="52"/>
        <v>0</v>
      </c>
      <c r="J131" s="51">
        <f t="shared" si="52"/>
        <v>0</v>
      </c>
      <c r="K131" s="51">
        <f t="shared" si="52"/>
        <v>0</v>
      </c>
      <c r="L131" s="51">
        <f t="shared" si="52"/>
        <v>0</v>
      </c>
      <c r="M131" s="51">
        <f t="shared" si="52"/>
        <v>1.816527375003987E-6</v>
      </c>
      <c r="N131" s="51">
        <f t="shared" si="52"/>
        <v>7.5815848424536157E-4</v>
      </c>
      <c r="O131" s="51">
        <f t="shared" si="52"/>
        <v>0</v>
      </c>
      <c r="P131" s="97"/>
      <c r="Q131" s="39">
        <f>G131+N131</f>
        <v>7.5815848424536157E-4</v>
      </c>
      <c r="R131" s="5">
        <f>SUM(K131:L131)</f>
        <v>0</v>
      </c>
      <c r="T131" s="5">
        <f t="shared" si="53"/>
        <v>173.70192830200963</v>
      </c>
    </row>
    <row r="132" spans="2:20" ht="15" x14ac:dyDescent="0.25"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28"/>
    </row>
    <row r="133" spans="2:20" ht="15" x14ac:dyDescent="0.25">
      <c r="B133" s="3">
        <v>2016</v>
      </c>
      <c r="C133" s="23">
        <f t="shared" ref="C133:O136" si="54">IFERROR(C128/$T128,0)</f>
        <v>0.99319330571126252</v>
      </c>
      <c r="D133" s="23">
        <f t="shared" si="54"/>
        <v>0</v>
      </c>
      <c r="E133" s="23">
        <f t="shared" si="54"/>
        <v>1.3115810098770599E-3</v>
      </c>
      <c r="F133" s="23">
        <f t="shared" si="54"/>
        <v>5.4922825259663714E-3</v>
      </c>
      <c r="G133" s="23">
        <f t="shared" si="54"/>
        <v>0</v>
      </c>
      <c r="H133" s="23">
        <f t="shared" si="54"/>
        <v>0</v>
      </c>
      <c r="I133" s="23">
        <f t="shared" si="54"/>
        <v>0</v>
      </c>
      <c r="J133" s="23">
        <f t="shared" si="54"/>
        <v>0</v>
      </c>
      <c r="K133" s="23">
        <f t="shared" si="54"/>
        <v>0</v>
      </c>
      <c r="L133" s="23">
        <f t="shared" si="54"/>
        <v>0</v>
      </c>
      <c r="M133" s="23">
        <f t="shared" si="54"/>
        <v>0</v>
      </c>
      <c r="N133" s="23">
        <f t="shared" si="54"/>
        <v>2.8307528939782927E-6</v>
      </c>
      <c r="O133" s="23">
        <f t="shared" si="54"/>
        <v>0</v>
      </c>
      <c r="P133" s="26"/>
      <c r="Q133" s="7">
        <f t="shared" ref="Q133:R136" si="55">Q128/$T128</f>
        <v>2.8307528939782927E-6</v>
      </c>
      <c r="R133" s="7">
        <f t="shared" si="55"/>
        <v>0</v>
      </c>
      <c r="T133" s="8">
        <f>SUM(C133:O133)</f>
        <v>0.99999999999999989</v>
      </c>
    </row>
    <row r="134" spans="2:20" ht="15" x14ac:dyDescent="0.25">
      <c r="B134" s="3">
        <v>2030</v>
      </c>
      <c r="C134" s="23">
        <f t="shared" si="54"/>
        <v>0.95928298538639156</v>
      </c>
      <c r="D134" s="23">
        <f t="shared" si="54"/>
        <v>0</v>
      </c>
      <c r="E134" s="23">
        <f t="shared" si="54"/>
        <v>3.8173753865367914E-2</v>
      </c>
      <c r="F134" s="23">
        <f t="shared" si="54"/>
        <v>2.5385474917579954E-3</v>
      </c>
      <c r="G134" s="23">
        <f t="shared" si="54"/>
        <v>0</v>
      </c>
      <c r="H134" s="23">
        <f t="shared" si="54"/>
        <v>0</v>
      </c>
      <c r="I134" s="23">
        <f t="shared" si="54"/>
        <v>0</v>
      </c>
      <c r="J134" s="23">
        <f t="shared" si="54"/>
        <v>0</v>
      </c>
      <c r="K134" s="23">
        <f t="shared" si="54"/>
        <v>0</v>
      </c>
      <c r="L134" s="23">
        <f t="shared" si="54"/>
        <v>0</v>
      </c>
      <c r="M134" s="23">
        <f t="shared" si="54"/>
        <v>4.4225566058501656E-9</v>
      </c>
      <c r="N134" s="23">
        <f t="shared" si="54"/>
        <v>4.7088339259277787E-6</v>
      </c>
      <c r="O134" s="23">
        <f t="shared" si="54"/>
        <v>0</v>
      </c>
      <c r="P134" s="26"/>
      <c r="Q134" s="7">
        <f t="shared" si="55"/>
        <v>4.7088339259277787E-6</v>
      </c>
      <c r="R134" s="7">
        <f t="shared" si="55"/>
        <v>0</v>
      </c>
      <c r="T134" s="8">
        <f t="shared" ref="T134:T136" si="56">SUM(C134:O134)</f>
        <v>1</v>
      </c>
    </row>
    <row r="135" spans="2:20" ht="15" x14ac:dyDescent="0.25">
      <c r="B135" s="3">
        <v>2040</v>
      </c>
      <c r="C135" s="23">
        <f t="shared" si="54"/>
        <v>0.84402546003024193</v>
      </c>
      <c r="D135" s="23">
        <f t="shared" si="54"/>
        <v>0</v>
      </c>
      <c r="E135" s="23">
        <f t="shared" si="54"/>
        <v>0.15287934657198052</v>
      </c>
      <c r="F135" s="23">
        <f t="shared" si="54"/>
        <v>3.0899721819121354E-3</v>
      </c>
      <c r="G135" s="23">
        <f t="shared" si="54"/>
        <v>0</v>
      </c>
      <c r="H135" s="23">
        <f t="shared" si="54"/>
        <v>0</v>
      </c>
      <c r="I135" s="23">
        <f t="shared" si="54"/>
        <v>0</v>
      </c>
      <c r="J135" s="23">
        <f t="shared" si="54"/>
        <v>0</v>
      </c>
      <c r="K135" s="23">
        <f t="shared" si="54"/>
        <v>0</v>
      </c>
      <c r="L135" s="23">
        <f t="shared" si="54"/>
        <v>0</v>
      </c>
      <c r="M135" s="23">
        <f t="shared" si="54"/>
        <v>1.0978153525761513E-8</v>
      </c>
      <c r="N135" s="23">
        <f t="shared" si="54"/>
        <v>5.2102377118958498E-6</v>
      </c>
      <c r="O135" s="23">
        <f t="shared" si="54"/>
        <v>0</v>
      </c>
      <c r="P135" s="26"/>
      <c r="Q135" s="7">
        <f t="shared" si="55"/>
        <v>5.2102377118958498E-6</v>
      </c>
      <c r="R135" s="7">
        <f t="shared" si="55"/>
        <v>0</v>
      </c>
      <c r="T135" s="8">
        <f t="shared" si="56"/>
        <v>1</v>
      </c>
    </row>
    <row r="136" spans="2:20" ht="15" x14ac:dyDescent="0.25">
      <c r="B136" s="3">
        <v>2050</v>
      </c>
      <c r="C136" s="23">
        <f t="shared" si="54"/>
        <v>0.72930917398805173</v>
      </c>
      <c r="D136" s="23">
        <f t="shared" si="54"/>
        <v>0</v>
      </c>
      <c r="E136" s="23">
        <f t="shared" si="54"/>
        <v>0.26643577435174781</v>
      </c>
      <c r="F136" s="23">
        <f t="shared" si="54"/>
        <v>4.2506764928142331E-3</v>
      </c>
      <c r="G136" s="23">
        <f t="shared" si="54"/>
        <v>0</v>
      </c>
      <c r="H136" s="23">
        <f t="shared" si="54"/>
        <v>0</v>
      </c>
      <c r="I136" s="23">
        <f t="shared" si="54"/>
        <v>0</v>
      </c>
      <c r="J136" s="23">
        <f t="shared" si="54"/>
        <v>0</v>
      </c>
      <c r="K136" s="23">
        <f t="shared" si="54"/>
        <v>0</v>
      </c>
      <c r="L136" s="23">
        <f t="shared" si="54"/>
        <v>0</v>
      </c>
      <c r="M136" s="23">
        <f t="shared" si="54"/>
        <v>1.0457727169531777E-8</v>
      </c>
      <c r="N136" s="23">
        <f t="shared" si="54"/>
        <v>4.364709658992255E-6</v>
      </c>
      <c r="O136" s="23">
        <f t="shared" si="54"/>
        <v>0</v>
      </c>
      <c r="P136" s="26"/>
      <c r="Q136" s="7">
        <f t="shared" si="55"/>
        <v>4.364709658992255E-6</v>
      </c>
      <c r="R136" s="7">
        <f t="shared" si="55"/>
        <v>0</v>
      </c>
      <c r="T136" s="8">
        <f t="shared" si="56"/>
        <v>0.99999999999999989</v>
      </c>
    </row>
    <row r="137" spans="2:20" s="11" customFormat="1" ht="15" x14ac:dyDescent="0.25">
      <c r="C137" s="12"/>
      <c r="D137" s="12"/>
      <c r="E137" s="14"/>
      <c r="F137" s="14"/>
      <c r="G137" s="14"/>
      <c r="H137" s="16"/>
      <c r="I137" s="14"/>
      <c r="J137" s="14"/>
      <c r="K137" s="16"/>
      <c r="L137" s="14"/>
      <c r="M137" s="16"/>
      <c r="N137" s="20"/>
      <c r="O137" s="20"/>
      <c r="P137" s="20"/>
    </row>
    <row r="138" spans="2:20" s="9" customFormat="1" ht="21" x14ac:dyDescent="0.35">
      <c r="B138" s="10" t="s">
        <v>44</v>
      </c>
    </row>
    <row r="139" spans="2:20" s="32" customFormat="1" ht="21" x14ac:dyDescent="0.35">
      <c r="B139" s="31"/>
      <c r="P139" s="58"/>
    </row>
    <row r="140" spans="2:20" ht="30" x14ac:dyDescent="0.25">
      <c r="B140" s="43" t="s">
        <v>76</v>
      </c>
      <c r="C140" s="43" t="s">
        <v>0</v>
      </c>
      <c r="D140" s="43" t="s">
        <v>1</v>
      </c>
      <c r="E140" s="43" t="s">
        <v>28</v>
      </c>
      <c r="F140" s="2" t="s">
        <v>29</v>
      </c>
      <c r="G140" s="2" t="s">
        <v>6</v>
      </c>
      <c r="H140" s="43" t="s">
        <v>2</v>
      </c>
      <c r="I140" s="43" t="s">
        <v>3</v>
      </c>
      <c r="J140" s="43" t="s">
        <v>4</v>
      </c>
      <c r="K140" s="43" t="s">
        <v>9</v>
      </c>
      <c r="L140" s="43" t="s">
        <v>8</v>
      </c>
      <c r="M140" s="43" t="s">
        <v>25</v>
      </c>
      <c r="N140" s="43" t="s">
        <v>7</v>
      </c>
      <c r="O140" s="43" t="s">
        <v>89</v>
      </c>
      <c r="P140" s="25"/>
      <c r="Q140" s="43" t="s">
        <v>5</v>
      </c>
      <c r="R140" s="43" t="s">
        <v>91</v>
      </c>
      <c r="T140" s="43" t="s">
        <v>10</v>
      </c>
    </row>
    <row r="141" spans="2:20" ht="15" x14ac:dyDescent="0.25">
      <c r="B141" s="3">
        <v>2016</v>
      </c>
      <c r="C141" s="51">
        <f>Inputs_Summary!E$16*C34/1000000</f>
        <v>280.52467826386066</v>
      </c>
      <c r="D141" s="51">
        <f>Inputs_Summary!F$16*D34/1000000</f>
        <v>0</v>
      </c>
      <c r="E141" s="51">
        <f>Inputs_Summary!G$16*E34/1000000</f>
        <v>1.4970319768567157E-2</v>
      </c>
      <c r="F141" s="51">
        <f>Inputs_Summary!H$16*F34/1000000</f>
        <v>0</v>
      </c>
      <c r="G141" s="51">
        <f>Inputs_Summary!I$16*G34/1000000</f>
        <v>0</v>
      </c>
      <c r="H141" s="51">
        <f>Inputs_Summary!J$16*H34/1000000</f>
        <v>0</v>
      </c>
      <c r="I141" s="51">
        <f>Inputs_Summary!K$16*I34/1000000</f>
        <v>6.6213594050410038E-2</v>
      </c>
      <c r="J141" s="51">
        <f>Inputs_Summary!L$16*J34/1000000</f>
        <v>0</v>
      </c>
      <c r="K141" s="51">
        <f>Inputs_Summary!M$16*K34/1000000</f>
        <v>0</v>
      </c>
      <c r="L141" s="51">
        <f>Inputs_Summary!N$16*L34/1000000</f>
        <v>0.35950778379036846</v>
      </c>
      <c r="M141" s="51">
        <f>Inputs_Summary!O$16*M34/1000000</f>
        <v>0</v>
      </c>
      <c r="N141" s="51">
        <f>Inputs_Summary!P$16*N34/1000000</f>
        <v>5.9887859519957903E-4</v>
      </c>
      <c r="O141" s="51">
        <f>Inputs_Summary!R$16*O34/1000000</f>
        <v>0</v>
      </c>
      <c r="P141" s="97"/>
      <c r="Q141" s="39">
        <f>G141+N141</f>
        <v>5.9887859519957903E-4</v>
      </c>
      <c r="R141" s="5">
        <f>SUM(K141:L141)</f>
        <v>0.35950778379036846</v>
      </c>
      <c r="T141" s="5">
        <f>SUM(C141:O141)</f>
        <v>280.96596884006522</v>
      </c>
    </row>
    <row r="142" spans="2:20" ht="15" x14ac:dyDescent="0.25">
      <c r="B142" s="3">
        <v>2030</v>
      </c>
      <c r="C142" s="51">
        <f>Inputs_Summary!E$16*C35/1000000</f>
        <v>186.77876072830293</v>
      </c>
      <c r="D142" s="51">
        <f>Inputs_Summary!F$16*D35/1000000</f>
        <v>0</v>
      </c>
      <c r="E142" s="51">
        <f>Inputs_Summary!G$16*E35/1000000</f>
        <v>4.4026652979812848E-2</v>
      </c>
      <c r="F142" s="51">
        <f>Inputs_Summary!H$16*F35/1000000</f>
        <v>0</v>
      </c>
      <c r="G142" s="51">
        <f>Inputs_Summary!I$16*G35/1000000</f>
        <v>0</v>
      </c>
      <c r="H142" s="51">
        <f>Inputs_Summary!J$16*H35/1000000</f>
        <v>0</v>
      </c>
      <c r="I142" s="51">
        <f>Inputs_Summary!K$16*I35/1000000</f>
        <v>6.707424473988724E-2</v>
      </c>
      <c r="J142" s="51">
        <f>Inputs_Summary!L$16*J35/1000000</f>
        <v>0</v>
      </c>
      <c r="K142" s="51">
        <f>Inputs_Summary!M$16*K35/1000000</f>
        <v>0</v>
      </c>
      <c r="L142" s="51">
        <f>Inputs_Summary!N$16*L35/1000000</f>
        <v>0.35795574205452418</v>
      </c>
      <c r="M142" s="51">
        <f>Inputs_Summary!O$16*M35/1000000</f>
        <v>0</v>
      </c>
      <c r="N142" s="51">
        <f>Inputs_Summary!P$16*N35/1000000</f>
        <v>4.4165371004214083E-4</v>
      </c>
      <c r="O142" s="51">
        <f>Inputs_Summary!R$16*O35/1000000</f>
        <v>0</v>
      </c>
      <c r="P142" s="97"/>
      <c r="Q142" s="39">
        <f>G142+N142</f>
        <v>4.4165371004214083E-4</v>
      </c>
      <c r="R142" s="5">
        <f>SUM(K142:L142)</f>
        <v>0.35795574205452418</v>
      </c>
      <c r="T142" s="5">
        <f t="shared" ref="T142:T144" si="57">SUM(C142:O142)</f>
        <v>187.24825902178722</v>
      </c>
    </row>
    <row r="143" spans="2:20" ht="15" x14ac:dyDescent="0.25">
      <c r="B143" s="3">
        <v>2040</v>
      </c>
      <c r="C143" s="51">
        <f>Inputs_Summary!E$16*C36/1000000</f>
        <v>60.376429813475575</v>
      </c>
      <c r="D143" s="51">
        <f>Inputs_Summary!F$16*D36/1000000</f>
        <v>0</v>
      </c>
      <c r="E143" s="51">
        <f>Inputs_Summary!G$16*E36/1000000</f>
        <v>4.5832566223583664E-2</v>
      </c>
      <c r="F143" s="51">
        <f>Inputs_Summary!H$16*F36/1000000</f>
        <v>0</v>
      </c>
      <c r="G143" s="51">
        <f>Inputs_Summary!I$16*G36/1000000</f>
        <v>0</v>
      </c>
      <c r="H143" s="51">
        <f>Inputs_Summary!J$16*H36/1000000</f>
        <v>0</v>
      </c>
      <c r="I143" s="51">
        <f>Inputs_Summary!K$16*I36/1000000</f>
        <v>6.7645690326707322E-2</v>
      </c>
      <c r="J143" s="51">
        <f>Inputs_Summary!L$16*J36/1000000</f>
        <v>0</v>
      </c>
      <c r="K143" s="51">
        <f>Inputs_Summary!M$16*K36/1000000</f>
        <v>0</v>
      </c>
      <c r="L143" s="51">
        <f>Inputs_Summary!N$16*L36/1000000</f>
        <v>0.38320540431557704</v>
      </c>
      <c r="M143" s="51">
        <f>Inputs_Summary!O$16*M36/1000000</f>
        <v>0</v>
      </c>
      <c r="N143" s="51">
        <f>Inputs_Summary!P$16*N36/1000000</f>
        <v>3.7819725322206027E-4</v>
      </c>
      <c r="O143" s="51">
        <f>Inputs_Summary!R$16*O36/1000000</f>
        <v>0</v>
      </c>
      <c r="P143" s="97"/>
      <c r="Q143" s="39">
        <f>G143+N143</f>
        <v>3.7819725322206027E-4</v>
      </c>
      <c r="R143" s="5">
        <f>SUM(K143:L143)</f>
        <v>0.38320540431557704</v>
      </c>
      <c r="T143" s="5">
        <f t="shared" si="57"/>
        <v>60.873491671594657</v>
      </c>
    </row>
    <row r="144" spans="2:20" ht="15" x14ac:dyDescent="0.25">
      <c r="B144" s="3">
        <v>2050</v>
      </c>
      <c r="C144" s="51">
        <f>Inputs_Summary!E$16*C37/1000000</f>
        <v>0</v>
      </c>
      <c r="D144" s="51">
        <f>Inputs_Summary!F$16*D37/1000000</f>
        <v>0</v>
      </c>
      <c r="E144" s="51">
        <f>Inputs_Summary!G$16*E37/1000000</f>
        <v>4.843991587019035E-2</v>
      </c>
      <c r="F144" s="51">
        <f>Inputs_Summary!H$16*F37/1000000</f>
        <v>0</v>
      </c>
      <c r="G144" s="51">
        <f>Inputs_Summary!I$16*G37/1000000</f>
        <v>0</v>
      </c>
      <c r="H144" s="51">
        <f>Inputs_Summary!J$16*H37/1000000</f>
        <v>0</v>
      </c>
      <c r="I144" s="51">
        <f>Inputs_Summary!K$16*I37/1000000</f>
        <v>0</v>
      </c>
      <c r="J144" s="51">
        <f>Inputs_Summary!L$16*J37/1000000</f>
        <v>0</v>
      </c>
      <c r="K144" s="51">
        <f>Inputs_Summary!M$16*K37/1000000</f>
        <v>0</v>
      </c>
      <c r="L144" s="51">
        <f>Inputs_Summary!N$16*L37/1000000</f>
        <v>0.40334234894332227</v>
      </c>
      <c r="M144" s="51">
        <f>Inputs_Summary!O$16*M37/1000000</f>
        <v>0</v>
      </c>
      <c r="N144" s="51">
        <f>Inputs_Summary!P$16*N37/1000000</f>
        <v>2.812818859670039E-4</v>
      </c>
      <c r="O144" s="51">
        <f>Inputs_Summary!R$16*O37/1000000</f>
        <v>0</v>
      </c>
      <c r="P144" s="97"/>
      <c r="Q144" s="39">
        <f>G144+N144</f>
        <v>2.812818859670039E-4</v>
      </c>
      <c r="R144" s="5">
        <f>SUM(K144:L144)</f>
        <v>0.40334234894332227</v>
      </c>
      <c r="T144" s="5">
        <f t="shared" si="57"/>
        <v>0.45206354669947962</v>
      </c>
    </row>
    <row r="145" spans="2:20" ht="15" x14ac:dyDescent="0.25"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28"/>
      <c r="Q145" s="5"/>
      <c r="R145" s="5"/>
      <c r="S145" s="5"/>
      <c r="T145" s="5"/>
    </row>
    <row r="146" spans="2:20" ht="30" x14ac:dyDescent="0.25">
      <c r="B146" s="43" t="s">
        <v>77</v>
      </c>
      <c r="C146" s="43" t="s">
        <v>0</v>
      </c>
      <c r="D146" s="43" t="s">
        <v>1</v>
      </c>
      <c r="E146" s="43" t="s">
        <v>28</v>
      </c>
      <c r="F146" s="2" t="s">
        <v>29</v>
      </c>
      <c r="G146" s="2" t="s">
        <v>6</v>
      </c>
      <c r="H146" s="43" t="s">
        <v>2</v>
      </c>
      <c r="I146" s="43" t="s">
        <v>3</v>
      </c>
      <c r="J146" s="43" t="s">
        <v>4</v>
      </c>
      <c r="K146" s="43" t="s">
        <v>9</v>
      </c>
      <c r="L146" s="43" t="s">
        <v>8</v>
      </c>
      <c r="M146" s="43" t="s">
        <v>25</v>
      </c>
      <c r="N146" s="43" t="s">
        <v>7</v>
      </c>
      <c r="O146" s="43" t="s">
        <v>89</v>
      </c>
      <c r="P146" s="25"/>
      <c r="Q146" s="43" t="s">
        <v>5</v>
      </c>
      <c r="R146" s="43" t="s">
        <v>91</v>
      </c>
      <c r="T146" s="43" t="s">
        <v>10</v>
      </c>
    </row>
    <row r="147" spans="2:20" ht="15" x14ac:dyDescent="0.25">
      <c r="B147" s="3">
        <v>2016</v>
      </c>
      <c r="C147" s="51">
        <f>Inputs_Summary!E$19*C40/1000000</f>
        <v>0</v>
      </c>
      <c r="D147" s="51">
        <f>Inputs_Summary!F$19*D40/1000000</f>
        <v>0</v>
      </c>
      <c r="E147" s="51">
        <f>Inputs_Summary!G$19*E40/1000000</f>
        <v>0</v>
      </c>
      <c r="F147" s="51">
        <f>Inputs_Summary!H$19*F40/1000000</f>
        <v>0</v>
      </c>
      <c r="G147" s="51">
        <f>Inputs_Summary!I$19*G40/1000000</f>
        <v>0</v>
      </c>
      <c r="H147" s="51">
        <f>Inputs_Summary!J$19*H40/1000000</f>
        <v>0</v>
      </c>
      <c r="I147" s="51">
        <f>Inputs_Summary!K$19*I40/1000000</f>
        <v>0</v>
      </c>
      <c r="J147" s="51">
        <f>Inputs_Summary!L$19*J40/1000000</f>
        <v>0</v>
      </c>
      <c r="K147" s="51">
        <f>Inputs_Summary!M$19*K40/1000000</f>
        <v>0</v>
      </c>
      <c r="L147" s="51">
        <f>Inputs_Summary!N$19*L40/1000000</f>
        <v>0</v>
      </c>
      <c r="M147" s="51">
        <f>Inputs_Summary!O$19*M40/1000000</f>
        <v>0</v>
      </c>
      <c r="N147" s="51">
        <f>Inputs_Summary!P$19*N40/1000000</f>
        <v>0</v>
      </c>
      <c r="O147" s="51">
        <f>Inputs_Summary!R$19*O40/1000000</f>
        <v>0</v>
      </c>
      <c r="P147" s="97"/>
      <c r="Q147" s="39">
        <f>G147+N147</f>
        <v>0</v>
      </c>
      <c r="R147" s="5">
        <f>SUM(K147:L147)</f>
        <v>0</v>
      </c>
      <c r="T147" s="5">
        <f>SUM(C147:O147)</f>
        <v>0</v>
      </c>
    </row>
    <row r="148" spans="2:20" ht="15" x14ac:dyDescent="0.25">
      <c r="B148" s="3">
        <v>2030</v>
      </c>
      <c r="C148" s="51">
        <f>Inputs_Summary!E$19*C41/1000000</f>
        <v>15.590282125824004</v>
      </c>
      <c r="D148" s="51">
        <f>Inputs_Summary!F$19*D41/1000000</f>
        <v>0</v>
      </c>
      <c r="E148" s="51">
        <f>Inputs_Summary!G$19*E41/1000000</f>
        <v>0</v>
      </c>
      <c r="F148" s="51">
        <f>Inputs_Summary!H$19*F41/1000000</f>
        <v>0</v>
      </c>
      <c r="G148" s="51">
        <f>Inputs_Summary!I$19*G41/1000000</f>
        <v>0</v>
      </c>
      <c r="H148" s="51">
        <f>Inputs_Summary!J$19*H41/1000000</f>
        <v>0</v>
      </c>
      <c r="I148" s="51">
        <f>Inputs_Summary!K$19*I41/1000000</f>
        <v>0.3375743923222792</v>
      </c>
      <c r="J148" s="51">
        <f>Inputs_Summary!L$19*J41/1000000</f>
        <v>0</v>
      </c>
      <c r="K148" s="51">
        <f>Inputs_Summary!M$19*K41/1000000</f>
        <v>0</v>
      </c>
      <c r="L148" s="51">
        <f>Inputs_Summary!N$19*L41/1000000</f>
        <v>0.23362053281566292</v>
      </c>
      <c r="M148" s="51">
        <f>Inputs_Summary!O$19*M41/1000000</f>
        <v>0</v>
      </c>
      <c r="N148" s="51">
        <f>Inputs_Summary!P$19*N41/1000000</f>
        <v>5.6833590585561383E-4</v>
      </c>
      <c r="O148" s="51">
        <f>Inputs_Summary!R$19*O41/1000000</f>
        <v>0</v>
      </c>
      <c r="P148" s="97"/>
      <c r="Q148" s="39">
        <f>G148+N148</f>
        <v>5.6833590585561383E-4</v>
      </c>
      <c r="R148" s="5">
        <f>SUM(K148:L148)</f>
        <v>0.23362053281566292</v>
      </c>
      <c r="T148" s="5">
        <f t="shared" ref="T148:T150" si="58">SUM(C148:O148)</f>
        <v>16.162045386867803</v>
      </c>
    </row>
    <row r="149" spans="2:20" ht="15" x14ac:dyDescent="0.25">
      <c r="B149" s="3">
        <v>2040</v>
      </c>
      <c r="C149" s="51">
        <f>Inputs_Summary!E$19*C42/1000000</f>
        <v>16.393311425346283</v>
      </c>
      <c r="D149" s="51">
        <f>Inputs_Summary!F$19*D42/1000000</f>
        <v>0</v>
      </c>
      <c r="E149" s="51">
        <f>Inputs_Summary!G$19*E42/1000000</f>
        <v>0</v>
      </c>
      <c r="F149" s="51">
        <f>Inputs_Summary!H$19*F42/1000000</f>
        <v>0</v>
      </c>
      <c r="G149" s="51">
        <f>Inputs_Summary!I$19*G42/1000000</f>
        <v>0</v>
      </c>
      <c r="H149" s="51">
        <f>Inputs_Summary!J$19*H42/1000000</f>
        <v>0</v>
      </c>
      <c r="I149" s="51">
        <f>Inputs_Summary!K$19*I42/1000000</f>
        <v>0.33806777303418584</v>
      </c>
      <c r="J149" s="51">
        <f>Inputs_Summary!L$19*J42/1000000</f>
        <v>0</v>
      </c>
      <c r="K149" s="51">
        <f>Inputs_Summary!M$19*K42/1000000</f>
        <v>0</v>
      </c>
      <c r="L149" s="51">
        <f>Inputs_Summary!N$19*L42/1000000</f>
        <v>0.23366183189974207</v>
      </c>
      <c r="M149" s="51">
        <f>Inputs_Summary!O$19*M42/1000000</f>
        <v>0</v>
      </c>
      <c r="N149" s="51">
        <f>Inputs_Summary!P$19*N42/1000000</f>
        <v>4.8685615603307175E-4</v>
      </c>
      <c r="O149" s="51">
        <f>Inputs_Summary!R$19*O42/1000000</f>
        <v>0</v>
      </c>
      <c r="P149" s="97"/>
      <c r="Q149" s="39">
        <f>G149+N149</f>
        <v>4.8685615603307175E-4</v>
      </c>
      <c r="R149" s="5">
        <f>SUM(K149:L149)</f>
        <v>0.23366183189974207</v>
      </c>
      <c r="T149" s="5">
        <f t="shared" si="58"/>
        <v>16.965527886436245</v>
      </c>
    </row>
    <row r="150" spans="2:20" ht="15" x14ac:dyDescent="0.25">
      <c r="B150" s="3">
        <v>2050</v>
      </c>
      <c r="C150" s="51">
        <f>Inputs_Summary!E$19*C43/1000000</f>
        <v>16.867931269722316</v>
      </c>
      <c r="D150" s="51">
        <f>Inputs_Summary!F$19*D43/1000000</f>
        <v>0</v>
      </c>
      <c r="E150" s="51">
        <f>Inputs_Summary!G$19*E43/1000000</f>
        <v>0</v>
      </c>
      <c r="F150" s="51">
        <f>Inputs_Summary!H$19*F43/1000000</f>
        <v>0</v>
      </c>
      <c r="G150" s="51">
        <f>Inputs_Summary!I$19*G43/1000000</f>
        <v>0</v>
      </c>
      <c r="H150" s="51">
        <f>Inputs_Summary!J$19*H43/1000000</f>
        <v>0</v>
      </c>
      <c r="I150" s="51">
        <f>Inputs_Summary!K$19*I43/1000000</f>
        <v>0</v>
      </c>
      <c r="J150" s="51">
        <f>Inputs_Summary!L$19*J43/1000000</f>
        <v>0</v>
      </c>
      <c r="K150" s="51">
        <f>Inputs_Summary!M$19*K43/1000000</f>
        <v>0</v>
      </c>
      <c r="L150" s="51">
        <f>Inputs_Summary!N$19*L43/1000000</f>
        <v>0</v>
      </c>
      <c r="M150" s="51">
        <f>Inputs_Summary!O$19*M43/1000000</f>
        <v>0</v>
      </c>
      <c r="N150" s="51">
        <f>Inputs_Summary!P$19*N43/1000000</f>
        <v>4.7687659827835762E-4</v>
      </c>
      <c r="O150" s="51">
        <f>Inputs_Summary!R$19*O43/1000000</f>
        <v>0</v>
      </c>
      <c r="P150" s="97"/>
      <c r="Q150" s="39">
        <f>G150+N150</f>
        <v>4.7687659827835762E-4</v>
      </c>
      <c r="R150" s="5">
        <f>SUM(K150:L150)</f>
        <v>0</v>
      </c>
      <c r="T150" s="5">
        <f t="shared" si="58"/>
        <v>16.868408146320593</v>
      </c>
    </row>
    <row r="151" spans="2:20" ht="15" x14ac:dyDescent="0.25"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28"/>
      <c r="Q151" s="5"/>
      <c r="R151" s="5"/>
      <c r="S151" s="5"/>
      <c r="T151" s="5"/>
    </row>
    <row r="152" spans="2:20" ht="30" x14ac:dyDescent="0.25">
      <c r="B152" s="43" t="s">
        <v>78</v>
      </c>
      <c r="C152" s="43" t="s">
        <v>0</v>
      </c>
      <c r="D152" s="43" t="s">
        <v>1</v>
      </c>
      <c r="E152" s="43" t="s">
        <v>28</v>
      </c>
      <c r="F152" s="2" t="s">
        <v>29</v>
      </c>
      <c r="G152" s="2" t="s">
        <v>6</v>
      </c>
      <c r="H152" s="43" t="s">
        <v>2</v>
      </c>
      <c r="I152" s="43" t="s">
        <v>3</v>
      </c>
      <c r="J152" s="43" t="s">
        <v>4</v>
      </c>
      <c r="K152" s="43" t="s">
        <v>9</v>
      </c>
      <c r="L152" s="43" t="s">
        <v>8</v>
      </c>
      <c r="M152" s="43" t="s">
        <v>25</v>
      </c>
      <c r="N152" s="43" t="s">
        <v>7</v>
      </c>
      <c r="O152" s="43" t="s">
        <v>89</v>
      </c>
      <c r="P152" s="25"/>
      <c r="Q152" s="43" t="s">
        <v>5</v>
      </c>
      <c r="R152" s="43" t="s">
        <v>91</v>
      </c>
      <c r="T152" s="43" t="s">
        <v>10</v>
      </c>
    </row>
    <row r="153" spans="2:20" ht="15" x14ac:dyDescent="0.25">
      <c r="B153" s="3">
        <v>2016</v>
      </c>
      <c r="C153" s="51">
        <f>Inputs_Summary!E$22*C46/1000000</f>
        <v>0</v>
      </c>
      <c r="D153" s="51">
        <f>Inputs_Summary!F$22*D46/1000000</f>
        <v>0</v>
      </c>
      <c r="E153" s="51">
        <f>Inputs_Summary!G$22*E46/1000000</f>
        <v>0</v>
      </c>
      <c r="F153" s="51">
        <f>Inputs_Summary!H$22*F46/1000000</f>
        <v>0</v>
      </c>
      <c r="G153" s="51">
        <f>Inputs_Summary!I$22*G46/1000000</f>
        <v>0</v>
      </c>
      <c r="H153" s="51">
        <f>Inputs_Summary!J$22*H46/1000000</f>
        <v>0</v>
      </c>
      <c r="I153" s="51">
        <f>Inputs_Summary!K$22*I46/1000000</f>
        <v>0</v>
      </c>
      <c r="J153" s="51">
        <f>Inputs_Summary!L$22*J46/1000000</f>
        <v>0</v>
      </c>
      <c r="K153" s="51">
        <f>Inputs_Summary!M$22*K46/1000000</f>
        <v>0</v>
      </c>
      <c r="L153" s="51">
        <f>Inputs_Summary!N$22*L46/1000000</f>
        <v>0</v>
      </c>
      <c r="M153" s="51">
        <f>Inputs_Summary!O$22*M46/1000000</f>
        <v>0</v>
      </c>
      <c r="N153" s="51">
        <f>Inputs_Summary!P$22*N46/1000000</f>
        <v>0</v>
      </c>
      <c r="O153" s="51">
        <f>Inputs_Summary!R$22*O46/1000000</f>
        <v>0</v>
      </c>
      <c r="P153" s="97"/>
      <c r="Q153" s="39">
        <f>G153+N153</f>
        <v>0</v>
      </c>
      <c r="R153" s="5">
        <f>SUM(K153:L153)</f>
        <v>0</v>
      </c>
      <c r="T153" s="5">
        <f>SUM(C153:O153)</f>
        <v>0</v>
      </c>
    </row>
    <row r="154" spans="2:20" ht="15" x14ac:dyDescent="0.25">
      <c r="B154" s="3">
        <v>2030</v>
      </c>
      <c r="C154" s="51">
        <f>Inputs_Summary!E$22*C47/1000000</f>
        <v>0</v>
      </c>
      <c r="D154" s="51">
        <f>Inputs_Summary!F$22*D47/1000000</f>
        <v>0</v>
      </c>
      <c r="E154" s="51">
        <f>Inputs_Summary!G$22*E47/1000000</f>
        <v>0.39771416382176805</v>
      </c>
      <c r="F154" s="51">
        <f>Inputs_Summary!H$22*F47/1000000</f>
        <v>0</v>
      </c>
      <c r="G154" s="51">
        <f>Inputs_Summary!I$22*G47/1000000</f>
        <v>0</v>
      </c>
      <c r="H154" s="51">
        <f>Inputs_Summary!J$22*H47/1000000</f>
        <v>0</v>
      </c>
      <c r="I154" s="51">
        <f>Inputs_Summary!K$22*I47/1000000</f>
        <v>0</v>
      </c>
      <c r="J154" s="51">
        <f>Inputs_Summary!L$22*J47/1000000</f>
        <v>0</v>
      </c>
      <c r="K154" s="51">
        <f>Inputs_Summary!M$22*K47/1000000</f>
        <v>0</v>
      </c>
      <c r="L154" s="51">
        <f>Inputs_Summary!N$22*L47/1000000</f>
        <v>0</v>
      </c>
      <c r="M154" s="51">
        <f>Inputs_Summary!O$22*M47/1000000</f>
        <v>9.4858649039074109E-7</v>
      </c>
      <c r="N154" s="51">
        <f>Inputs_Summary!P$22*N47/1000000</f>
        <v>0</v>
      </c>
      <c r="O154" s="51">
        <f>Inputs_Summary!R$22*O47/1000000</f>
        <v>0</v>
      </c>
      <c r="P154" s="97"/>
      <c r="Q154" s="39">
        <f>G154+N154</f>
        <v>0</v>
      </c>
      <c r="R154" s="5">
        <f>SUM(K154:L154)</f>
        <v>0</v>
      </c>
      <c r="T154" s="5">
        <f t="shared" ref="T154:T156" si="59">SUM(C154:O154)</f>
        <v>0.39771511240825846</v>
      </c>
    </row>
    <row r="155" spans="2:20" ht="15" x14ac:dyDescent="0.25">
      <c r="B155" s="3">
        <v>2040</v>
      </c>
      <c r="C155" s="51">
        <f>Inputs_Summary!E$22*C48/1000000</f>
        <v>6.0762450106003536</v>
      </c>
      <c r="D155" s="51">
        <f>Inputs_Summary!F$22*D48/1000000</f>
        <v>0</v>
      </c>
      <c r="E155" s="51">
        <f>Inputs_Summary!G$22*E48/1000000</f>
        <v>1.3235769070164194</v>
      </c>
      <c r="F155" s="51">
        <f>Inputs_Summary!H$22*F48/1000000</f>
        <v>0</v>
      </c>
      <c r="G155" s="51">
        <f>Inputs_Summary!I$22*G48/1000000</f>
        <v>0</v>
      </c>
      <c r="H155" s="51">
        <f>Inputs_Summary!J$22*H48/1000000</f>
        <v>0</v>
      </c>
      <c r="I155" s="51">
        <f>Inputs_Summary!K$22*I48/1000000</f>
        <v>0</v>
      </c>
      <c r="J155" s="51">
        <f>Inputs_Summary!L$22*J48/1000000</f>
        <v>0</v>
      </c>
      <c r="K155" s="51">
        <f>Inputs_Summary!M$22*K48/1000000</f>
        <v>0</v>
      </c>
      <c r="L155" s="51">
        <f>Inputs_Summary!N$22*L48/1000000</f>
        <v>0</v>
      </c>
      <c r="M155" s="51">
        <f>Inputs_Summary!O$22*M48/1000000</f>
        <v>1.8226978613861906E-6</v>
      </c>
      <c r="N155" s="51">
        <f>Inputs_Summary!P$22*N48/1000000</f>
        <v>0</v>
      </c>
      <c r="O155" s="51">
        <f>Inputs_Summary!R$22*O48/1000000</f>
        <v>0</v>
      </c>
      <c r="P155" s="97"/>
      <c r="Q155" s="39">
        <f>G155+N155</f>
        <v>0</v>
      </c>
      <c r="R155" s="5">
        <f>SUM(K155:L155)</f>
        <v>0</v>
      </c>
      <c r="T155" s="5">
        <f t="shared" si="59"/>
        <v>7.3998237403146341</v>
      </c>
    </row>
    <row r="156" spans="2:20" ht="15" x14ac:dyDescent="0.25">
      <c r="B156" s="3">
        <v>2050</v>
      </c>
      <c r="C156" s="51">
        <f>Inputs_Summary!E$22*C49/1000000</f>
        <v>13.123811898915569</v>
      </c>
      <c r="D156" s="51">
        <f>Inputs_Summary!F$22*D49/1000000</f>
        <v>0</v>
      </c>
      <c r="E156" s="51">
        <f>Inputs_Summary!G$22*E49/1000000</f>
        <v>2.4484322201408362</v>
      </c>
      <c r="F156" s="51">
        <f>Inputs_Summary!H$22*F49/1000000</f>
        <v>0</v>
      </c>
      <c r="G156" s="51">
        <f>Inputs_Summary!I$22*G49/1000000</f>
        <v>0</v>
      </c>
      <c r="H156" s="51">
        <f>Inputs_Summary!J$22*H49/1000000</f>
        <v>0</v>
      </c>
      <c r="I156" s="51">
        <f>Inputs_Summary!K$22*I49/1000000</f>
        <v>0</v>
      </c>
      <c r="J156" s="51">
        <f>Inputs_Summary!L$22*J49/1000000</f>
        <v>0</v>
      </c>
      <c r="K156" s="51">
        <f>Inputs_Summary!M$22*K49/1000000</f>
        <v>0</v>
      </c>
      <c r="L156" s="51">
        <f>Inputs_Summary!N$22*L49/1000000</f>
        <v>0</v>
      </c>
      <c r="M156" s="51">
        <f>Inputs_Summary!O$22*M49/1000000</f>
        <v>1.816527375003987E-6</v>
      </c>
      <c r="N156" s="51">
        <f>Inputs_Summary!P$22*N49/1000000</f>
        <v>0</v>
      </c>
      <c r="O156" s="51">
        <f>Inputs_Summary!R$22*O49/1000000</f>
        <v>0</v>
      </c>
      <c r="P156" s="97"/>
      <c r="Q156" s="39">
        <f>G156+N156</f>
        <v>0</v>
      </c>
      <c r="R156" s="5">
        <f>SUM(K156:L156)</f>
        <v>0</v>
      </c>
      <c r="T156" s="5">
        <f t="shared" si="59"/>
        <v>15.57224593558378</v>
      </c>
    </row>
    <row r="157" spans="2:20" ht="15" x14ac:dyDescent="0.25"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28"/>
    </row>
    <row r="158" spans="2:20" ht="30" x14ac:dyDescent="0.25">
      <c r="B158" s="43" t="s">
        <v>79</v>
      </c>
      <c r="C158" s="43" t="s">
        <v>0</v>
      </c>
      <c r="D158" s="43" t="s">
        <v>1</v>
      </c>
      <c r="E158" s="43" t="s">
        <v>28</v>
      </c>
      <c r="F158" s="2" t="s">
        <v>29</v>
      </c>
      <c r="G158" s="2" t="s">
        <v>6</v>
      </c>
      <c r="H158" s="43" t="s">
        <v>2</v>
      </c>
      <c r="I158" s="43" t="s">
        <v>3</v>
      </c>
      <c r="J158" s="43" t="s">
        <v>4</v>
      </c>
      <c r="K158" s="43" t="s">
        <v>9</v>
      </c>
      <c r="L158" s="43" t="s">
        <v>8</v>
      </c>
      <c r="M158" s="43" t="s">
        <v>25</v>
      </c>
      <c r="N158" s="43" t="s">
        <v>7</v>
      </c>
      <c r="O158" s="43" t="s">
        <v>89</v>
      </c>
      <c r="P158" s="25"/>
      <c r="Q158" s="43" t="s">
        <v>5</v>
      </c>
      <c r="R158" s="43" t="s">
        <v>91</v>
      </c>
      <c r="T158" s="43" t="s">
        <v>10</v>
      </c>
    </row>
    <row r="159" spans="2:20" ht="15" x14ac:dyDescent="0.25">
      <c r="B159" s="3">
        <v>2016</v>
      </c>
      <c r="C159" s="51">
        <f t="shared" ref="C159:O162" si="60">C141+C147+C153</f>
        <v>280.52467826386066</v>
      </c>
      <c r="D159" s="51">
        <f t="shared" si="60"/>
        <v>0</v>
      </c>
      <c r="E159" s="51">
        <f t="shared" si="60"/>
        <v>1.4970319768567157E-2</v>
      </c>
      <c r="F159" s="51">
        <f t="shared" si="60"/>
        <v>0</v>
      </c>
      <c r="G159" s="51">
        <f t="shared" si="60"/>
        <v>0</v>
      </c>
      <c r="H159" s="51">
        <f t="shared" si="60"/>
        <v>0</v>
      </c>
      <c r="I159" s="51">
        <f t="shared" si="60"/>
        <v>6.6213594050410038E-2</v>
      </c>
      <c r="J159" s="51">
        <f t="shared" si="60"/>
        <v>0</v>
      </c>
      <c r="K159" s="51">
        <f t="shared" si="60"/>
        <v>0</v>
      </c>
      <c r="L159" s="51">
        <f t="shared" si="60"/>
        <v>0.35950778379036846</v>
      </c>
      <c r="M159" s="51">
        <f t="shared" si="60"/>
        <v>0</v>
      </c>
      <c r="N159" s="51">
        <f t="shared" si="60"/>
        <v>5.9887859519957903E-4</v>
      </c>
      <c r="O159" s="51">
        <f t="shared" si="60"/>
        <v>0</v>
      </c>
      <c r="P159" s="97"/>
      <c r="Q159" s="39">
        <f>G159+N159</f>
        <v>5.9887859519957903E-4</v>
      </c>
      <c r="R159" s="5">
        <f>SUM(K159:L159)</f>
        <v>0.35950778379036846</v>
      </c>
      <c r="T159" s="5">
        <f>SUM(C159:O159)</f>
        <v>280.96596884006522</v>
      </c>
    </row>
    <row r="160" spans="2:20" ht="15" x14ac:dyDescent="0.25">
      <c r="B160" s="3">
        <v>2030</v>
      </c>
      <c r="C160" s="51">
        <f t="shared" si="60"/>
        <v>202.36904285412692</v>
      </c>
      <c r="D160" s="51">
        <f t="shared" si="60"/>
        <v>0</v>
      </c>
      <c r="E160" s="51">
        <f t="shared" si="60"/>
        <v>0.44174081680158089</v>
      </c>
      <c r="F160" s="51">
        <f t="shared" si="60"/>
        <v>0</v>
      </c>
      <c r="G160" s="51">
        <f t="shared" si="60"/>
        <v>0</v>
      </c>
      <c r="H160" s="51">
        <f t="shared" si="60"/>
        <v>0</v>
      </c>
      <c r="I160" s="51">
        <f t="shared" si="60"/>
        <v>0.40464863706216647</v>
      </c>
      <c r="J160" s="51">
        <f t="shared" si="60"/>
        <v>0</v>
      </c>
      <c r="K160" s="51">
        <f t="shared" si="60"/>
        <v>0</v>
      </c>
      <c r="L160" s="51">
        <f t="shared" si="60"/>
        <v>0.59157627487018716</v>
      </c>
      <c r="M160" s="51">
        <f t="shared" si="60"/>
        <v>9.4858649039074109E-7</v>
      </c>
      <c r="N160" s="51">
        <f t="shared" si="60"/>
        <v>1.0099896158977547E-3</v>
      </c>
      <c r="O160" s="51">
        <f t="shared" si="60"/>
        <v>0</v>
      </c>
      <c r="P160" s="97"/>
      <c r="Q160" s="39">
        <f>G160+N160</f>
        <v>1.0099896158977547E-3</v>
      </c>
      <c r="R160" s="5">
        <f>SUM(K160:L160)</f>
        <v>0.59157627487018716</v>
      </c>
      <c r="T160" s="5">
        <f t="shared" ref="T160:T162" si="61">SUM(C160:O160)</f>
        <v>203.80801952106324</v>
      </c>
    </row>
    <row r="161" spans="2:20" ht="15" x14ac:dyDescent="0.25">
      <c r="B161" s="3">
        <v>2040</v>
      </c>
      <c r="C161" s="51">
        <f t="shared" si="60"/>
        <v>82.845986249422225</v>
      </c>
      <c r="D161" s="51">
        <f t="shared" si="60"/>
        <v>0</v>
      </c>
      <c r="E161" s="51">
        <f t="shared" si="60"/>
        <v>1.3694094732400031</v>
      </c>
      <c r="F161" s="51">
        <f t="shared" si="60"/>
        <v>0</v>
      </c>
      <c r="G161" s="51">
        <f t="shared" si="60"/>
        <v>0</v>
      </c>
      <c r="H161" s="51">
        <f t="shared" si="60"/>
        <v>0</v>
      </c>
      <c r="I161" s="51">
        <f t="shared" si="60"/>
        <v>0.40571346336089315</v>
      </c>
      <c r="J161" s="51">
        <f t="shared" si="60"/>
        <v>0</v>
      </c>
      <c r="K161" s="51">
        <f t="shared" si="60"/>
        <v>0</v>
      </c>
      <c r="L161" s="51">
        <f t="shared" si="60"/>
        <v>0.61686723621531914</v>
      </c>
      <c r="M161" s="51">
        <f t="shared" si="60"/>
        <v>1.8226978613861906E-6</v>
      </c>
      <c r="N161" s="51">
        <f t="shared" si="60"/>
        <v>8.6505340925513202E-4</v>
      </c>
      <c r="O161" s="51">
        <f t="shared" si="60"/>
        <v>0</v>
      </c>
      <c r="P161" s="97"/>
      <c r="Q161" s="39">
        <f>G161+N161</f>
        <v>8.6505340925513202E-4</v>
      </c>
      <c r="R161" s="5">
        <f>SUM(K161:L161)</f>
        <v>0.61686723621531914</v>
      </c>
      <c r="T161" s="5">
        <f t="shared" si="61"/>
        <v>85.238843298345557</v>
      </c>
    </row>
    <row r="162" spans="2:20" ht="15" x14ac:dyDescent="0.25">
      <c r="B162" s="3">
        <v>2050</v>
      </c>
      <c r="C162" s="51">
        <f t="shared" si="60"/>
        <v>29.991743168637885</v>
      </c>
      <c r="D162" s="51">
        <f t="shared" si="60"/>
        <v>0</v>
      </c>
      <c r="E162" s="51">
        <f t="shared" si="60"/>
        <v>2.4968721360110266</v>
      </c>
      <c r="F162" s="51">
        <f t="shared" si="60"/>
        <v>0</v>
      </c>
      <c r="G162" s="51">
        <f t="shared" si="60"/>
        <v>0</v>
      </c>
      <c r="H162" s="51">
        <f t="shared" si="60"/>
        <v>0</v>
      </c>
      <c r="I162" s="51">
        <f t="shared" si="60"/>
        <v>0</v>
      </c>
      <c r="J162" s="51">
        <f t="shared" si="60"/>
        <v>0</v>
      </c>
      <c r="K162" s="51">
        <f t="shared" si="60"/>
        <v>0</v>
      </c>
      <c r="L162" s="51">
        <f t="shared" si="60"/>
        <v>0.40334234894332227</v>
      </c>
      <c r="M162" s="51">
        <f t="shared" si="60"/>
        <v>1.816527375003987E-6</v>
      </c>
      <c r="N162" s="51">
        <f t="shared" si="60"/>
        <v>7.5815848424536157E-4</v>
      </c>
      <c r="O162" s="51">
        <f t="shared" si="60"/>
        <v>0</v>
      </c>
      <c r="P162" s="97"/>
      <c r="Q162" s="39">
        <f>G162+N162</f>
        <v>7.5815848424536157E-4</v>
      </c>
      <c r="R162" s="5">
        <f>SUM(K162:L162)</f>
        <v>0.40334234894332227</v>
      </c>
      <c r="T162" s="5">
        <f t="shared" si="61"/>
        <v>32.892717628603847</v>
      </c>
    </row>
    <row r="163" spans="2:20" ht="15" x14ac:dyDescent="0.25"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28"/>
    </row>
    <row r="164" spans="2:20" ht="15" x14ac:dyDescent="0.25">
      <c r="B164" s="3">
        <v>2016</v>
      </c>
      <c r="C164" s="23">
        <f t="shared" ref="C164:O167" si="62">IFERROR(C159/$T159,0)</f>
        <v>0.99842938068967435</v>
      </c>
      <c r="D164" s="23">
        <f t="shared" si="62"/>
        <v>0</v>
      </c>
      <c r="E164" s="23">
        <f t="shared" si="62"/>
        <v>5.3281612112564208E-5</v>
      </c>
      <c r="F164" s="23">
        <f t="shared" si="62"/>
        <v>0</v>
      </c>
      <c r="G164" s="23">
        <f t="shared" si="62"/>
        <v>0</v>
      </c>
      <c r="H164" s="23">
        <f t="shared" si="62"/>
        <v>0</v>
      </c>
      <c r="I164" s="23">
        <f t="shared" si="62"/>
        <v>2.3566410666660105E-4</v>
      </c>
      <c r="J164" s="23">
        <f t="shared" si="62"/>
        <v>0</v>
      </c>
      <c r="K164" s="23">
        <f t="shared" si="62"/>
        <v>0</v>
      </c>
      <c r="L164" s="23">
        <f t="shared" si="62"/>
        <v>1.2795420928539988E-3</v>
      </c>
      <c r="M164" s="23">
        <f t="shared" si="62"/>
        <v>0</v>
      </c>
      <c r="N164" s="23">
        <f t="shared" si="62"/>
        <v>2.1314986924287611E-6</v>
      </c>
      <c r="O164" s="23">
        <f t="shared" si="62"/>
        <v>0</v>
      </c>
      <c r="P164" s="26"/>
      <c r="Q164" s="7">
        <f t="shared" ref="Q164:R167" si="63">Q159/$T159</f>
        <v>2.1314986924287611E-6</v>
      </c>
      <c r="R164" s="7">
        <f t="shared" si="63"/>
        <v>1.2795420928539988E-3</v>
      </c>
      <c r="T164" s="8">
        <f>SUM(C164:O164)</f>
        <v>1</v>
      </c>
    </row>
    <row r="165" spans="2:20" ht="15" x14ac:dyDescent="0.25">
      <c r="B165" s="3">
        <v>2030</v>
      </c>
      <c r="C165" s="23">
        <f t="shared" si="62"/>
        <v>0.99293954835379961</v>
      </c>
      <c r="D165" s="23">
        <f t="shared" si="62"/>
        <v>0</v>
      </c>
      <c r="E165" s="23">
        <f t="shared" si="62"/>
        <v>2.1674358930509488E-3</v>
      </c>
      <c r="F165" s="23">
        <f t="shared" si="62"/>
        <v>0</v>
      </c>
      <c r="G165" s="23">
        <f t="shared" si="62"/>
        <v>0</v>
      </c>
      <c r="H165" s="23">
        <f t="shared" si="62"/>
        <v>0</v>
      </c>
      <c r="I165" s="23">
        <f t="shared" si="62"/>
        <v>1.9854402099243533E-3</v>
      </c>
      <c r="J165" s="23">
        <f t="shared" si="62"/>
        <v>0</v>
      </c>
      <c r="K165" s="23">
        <f t="shared" si="62"/>
        <v>0</v>
      </c>
      <c r="L165" s="23">
        <f t="shared" si="62"/>
        <v>2.9026152958080663E-3</v>
      </c>
      <c r="M165" s="23">
        <f t="shared" si="62"/>
        <v>4.6543138617403918E-9</v>
      </c>
      <c r="N165" s="23">
        <f t="shared" si="62"/>
        <v>4.9555931031132649E-6</v>
      </c>
      <c r="O165" s="23">
        <f t="shared" si="62"/>
        <v>0</v>
      </c>
      <c r="P165" s="26"/>
      <c r="Q165" s="7">
        <f t="shared" si="63"/>
        <v>4.9555931031132649E-6</v>
      </c>
      <c r="R165" s="7">
        <f t="shared" si="63"/>
        <v>2.9026152958080663E-3</v>
      </c>
      <c r="T165" s="8">
        <f t="shared" ref="T165:T167" si="64">SUM(C165:O165)</f>
        <v>0.99999999999999978</v>
      </c>
    </row>
    <row r="166" spans="2:20" ht="15" x14ac:dyDescent="0.25">
      <c r="B166" s="3">
        <v>2040</v>
      </c>
      <c r="C166" s="23">
        <f t="shared" si="62"/>
        <v>0.97192762177041681</v>
      </c>
      <c r="D166" s="23">
        <f t="shared" si="62"/>
        <v>0</v>
      </c>
      <c r="E166" s="23">
        <f t="shared" si="62"/>
        <v>1.6065556737400993E-2</v>
      </c>
      <c r="F166" s="23">
        <f t="shared" si="62"/>
        <v>0</v>
      </c>
      <c r="G166" s="23">
        <f t="shared" si="62"/>
        <v>0</v>
      </c>
      <c r="H166" s="23">
        <f t="shared" si="62"/>
        <v>0</v>
      </c>
      <c r="I166" s="23">
        <f t="shared" si="62"/>
        <v>4.7597251166448884E-3</v>
      </c>
      <c r="J166" s="23">
        <f t="shared" si="62"/>
        <v>0</v>
      </c>
      <c r="K166" s="23">
        <f t="shared" si="62"/>
        <v>0</v>
      </c>
      <c r="L166" s="23">
        <f t="shared" si="62"/>
        <v>7.2369264099022826E-3</v>
      </c>
      <c r="M166" s="23">
        <f t="shared" si="62"/>
        <v>2.1383418531461563E-8</v>
      </c>
      <c r="N166" s="23">
        <f t="shared" si="62"/>
        <v>1.0148582216529471E-5</v>
      </c>
      <c r="O166" s="23">
        <f t="shared" si="62"/>
        <v>0</v>
      </c>
      <c r="P166" s="26"/>
      <c r="Q166" s="7">
        <f t="shared" si="63"/>
        <v>1.0148582216529471E-5</v>
      </c>
      <c r="R166" s="7">
        <f t="shared" si="63"/>
        <v>7.2369264099022826E-3</v>
      </c>
      <c r="T166" s="8">
        <f t="shared" si="64"/>
        <v>0.99999999999999989</v>
      </c>
    </row>
    <row r="167" spans="2:20" ht="15" x14ac:dyDescent="0.25">
      <c r="B167" s="3">
        <v>2050</v>
      </c>
      <c r="C167" s="23">
        <f t="shared" si="62"/>
        <v>0.91180496264488509</v>
      </c>
      <c r="D167" s="23">
        <f t="shared" si="62"/>
        <v>0</v>
      </c>
      <c r="E167" s="23">
        <f t="shared" si="62"/>
        <v>7.590957257480363E-2</v>
      </c>
      <c r="F167" s="23">
        <f t="shared" si="62"/>
        <v>0</v>
      </c>
      <c r="G167" s="23">
        <f t="shared" si="62"/>
        <v>0</v>
      </c>
      <c r="H167" s="23">
        <f t="shared" si="62"/>
        <v>0</v>
      </c>
      <c r="I167" s="23">
        <f t="shared" si="62"/>
        <v>0</v>
      </c>
      <c r="J167" s="23">
        <f t="shared" si="62"/>
        <v>0</v>
      </c>
      <c r="K167" s="23">
        <f t="shared" si="62"/>
        <v>0</v>
      </c>
      <c r="L167" s="23">
        <f t="shared" si="62"/>
        <v>1.2262360121699753E-2</v>
      </c>
      <c r="M167" s="23">
        <f t="shared" si="62"/>
        <v>5.5225822186985121E-8</v>
      </c>
      <c r="N167" s="23">
        <f t="shared" si="62"/>
        <v>2.3049432789526004E-5</v>
      </c>
      <c r="O167" s="23">
        <f t="shared" si="62"/>
        <v>0</v>
      </c>
      <c r="P167" s="26"/>
      <c r="Q167" s="7">
        <f t="shared" si="63"/>
        <v>2.3049432789526004E-5</v>
      </c>
      <c r="R167" s="7">
        <f t="shared" si="63"/>
        <v>1.2262360121699753E-2</v>
      </c>
      <c r="T167" s="8">
        <f t="shared" si="64"/>
        <v>1.0000000000000002</v>
      </c>
    </row>
    <row r="168" spans="2:20" s="11" customFormat="1" ht="15" x14ac:dyDescent="0.25">
      <c r="C168" s="12"/>
      <c r="D168" s="12"/>
      <c r="E168" s="14"/>
      <c r="F168" s="14"/>
      <c r="G168" s="14"/>
      <c r="H168" s="16"/>
      <c r="I168" s="14"/>
      <c r="J168" s="14"/>
      <c r="K168" s="16"/>
      <c r="L168" s="14"/>
      <c r="M168" s="16"/>
      <c r="N168" s="20"/>
      <c r="O168" s="20"/>
      <c r="P168" s="20"/>
    </row>
    <row r="169" spans="2:20" s="9" customFormat="1" ht="21" x14ac:dyDescent="0.35">
      <c r="B169" s="10" t="s">
        <v>18</v>
      </c>
    </row>
    <row r="170" spans="2:20" s="32" customFormat="1" ht="15" x14ac:dyDescent="0.25">
      <c r="B170" s="43"/>
      <c r="C170" s="40"/>
      <c r="D170" s="40"/>
      <c r="E170" s="40"/>
      <c r="P170" s="58"/>
    </row>
    <row r="171" spans="2:20" s="32" customFormat="1" ht="15.75" customHeight="1" x14ac:dyDescent="0.25">
      <c r="B171" s="33" t="s">
        <v>21</v>
      </c>
      <c r="C171" s="93">
        <f>Inputs_Summary!E27</f>
        <v>547</v>
      </c>
      <c r="D171" s="93">
        <f>Inputs_Summary!F27</f>
        <v>0</v>
      </c>
      <c r="E171" s="93">
        <f>Inputs_Summary!G27</f>
        <v>0</v>
      </c>
      <c r="F171" s="93">
        <f>Inputs_Summary!H27</f>
        <v>0</v>
      </c>
      <c r="G171" s="93">
        <f>Inputs_Summary!I27</f>
        <v>0</v>
      </c>
      <c r="H171" s="93">
        <f>Inputs_Summary!J27</f>
        <v>0</v>
      </c>
      <c r="I171" s="93">
        <f>Inputs_Summary!K27</f>
        <v>0</v>
      </c>
      <c r="J171" s="93">
        <f>Inputs_Summary!L27</f>
        <v>0</v>
      </c>
      <c r="K171" s="93">
        <f>Inputs_Summary!M27</f>
        <v>0</v>
      </c>
      <c r="L171" s="93">
        <f>Inputs_Summary!N27</f>
        <v>0</v>
      </c>
      <c r="M171" s="93">
        <f>Inputs_Summary!O27</f>
        <v>0</v>
      </c>
      <c r="N171" s="93">
        <f>Inputs_Summary!P27</f>
        <v>0</v>
      </c>
      <c r="O171" s="93">
        <f>Inputs_Summary!Q27</f>
        <v>0</v>
      </c>
      <c r="P171" s="99"/>
    </row>
    <row r="172" spans="2:20" s="32" customFormat="1" ht="15" x14ac:dyDescent="0.25">
      <c r="B172" s="33" t="s">
        <v>19</v>
      </c>
      <c r="C172" s="93">
        <f>Inputs_Summary!E28</f>
        <v>650</v>
      </c>
      <c r="D172" s="93">
        <f>Inputs_Summary!F28</f>
        <v>650</v>
      </c>
      <c r="E172" s="93">
        <f>Inputs_Summary!G28</f>
        <v>0</v>
      </c>
      <c r="F172" s="93">
        <f>Inputs_Summary!H28</f>
        <v>161</v>
      </c>
      <c r="G172" s="93">
        <f>Inputs_Summary!I28</f>
        <v>0</v>
      </c>
      <c r="H172" s="93">
        <f>Inputs_Summary!J28</f>
        <v>0</v>
      </c>
      <c r="I172" s="93">
        <f>Inputs_Summary!K28</f>
        <v>0</v>
      </c>
      <c r="J172" s="93">
        <f>Inputs_Summary!L28</f>
        <v>0</v>
      </c>
      <c r="K172" s="93">
        <f>Inputs_Summary!M28</f>
        <v>0</v>
      </c>
      <c r="L172" s="93">
        <f>Inputs_Summary!N28</f>
        <v>0</v>
      </c>
      <c r="M172" s="93">
        <f>Inputs_Summary!O28</f>
        <v>0</v>
      </c>
      <c r="N172" s="93">
        <f>Inputs_Summary!P28</f>
        <v>201</v>
      </c>
      <c r="O172" s="93">
        <f>Inputs_Summary!Q28</f>
        <v>0</v>
      </c>
      <c r="P172" s="99"/>
    </row>
    <row r="173" spans="2:20" s="32" customFormat="1" ht="15" x14ac:dyDescent="0.25">
      <c r="B173" s="33" t="s">
        <v>20</v>
      </c>
      <c r="C173" s="94">
        <f>Inputs_Summary!E29</f>
        <v>0.26832454873646205</v>
      </c>
      <c r="D173" s="94">
        <f>Inputs_Summary!F29</f>
        <v>0.12287246155234656</v>
      </c>
      <c r="E173" s="94">
        <f>Inputs_Summary!G29</f>
        <v>0.95</v>
      </c>
      <c r="F173" s="94">
        <f>Inputs_Summary!H29</f>
        <v>2.5</v>
      </c>
      <c r="G173" s="94">
        <f>Inputs_Summary!I29</f>
        <v>0.3</v>
      </c>
      <c r="H173" s="94">
        <f>Inputs_Summary!J29</f>
        <v>0.93</v>
      </c>
      <c r="I173" s="94">
        <f>Inputs_Summary!K29</f>
        <v>3.3</v>
      </c>
      <c r="J173" s="94">
        <f>Inputs_Summary!L29</f>
        <v>1.7</v>
      </c>
      <c r="K173" s="94">
        <f>Inputs_Summary!M29</f>
        <v>1.107</v>
      </c>
      <c r="L173" s="94">
        <f>Inputs_Summary!N29</f>
        <v>1.65</v>
      </c>
      <c r="M173" s="94">
        <f>Inputs_Summary!O29</f>
        <v>1.51</v>
      </c>
      <c r="N173" s="94">
        <f>Inputs_Summary!P29</f>
        <v>0.05</v>
      </c>
      <c r="O173" s="94">
        <f>Inputs_Summary!Q29</f>
        <v>0</v>
      </c>
      <c r="P173" s="100"/>
    </row>
    <row r="174" spans="2:20" s="58" customFormat="1" ht="15" x14ac:dyDescent="0.25">
      <c r="B174" s="67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</row>
    <row r="175" spans="2:20" ht="30" x14ac:dyDescent="0.25">
      <c r="B175" s="43" t="s">
        <v>45</v>
      </c>
      <c r="C175" s="43" t="s">
        <v>0</v>
      </c>
      <c r="D175" s="43" t="s">
        <v>1</v>
      </c>
      <c r="E175" s="43" t="s">
        <v>28</v>
      </c>
      <c r="F175" s="2" t="s">
        <v>29</v>
      </c>
      <c r="G175" s="2" t="s">
        <v>6</v>
      </c>
      <c r="H175" s="43" t="s">
        <v>2</v>
      </c>
      <c r="I175" s="43" t="s">
        <v>3</v>
      </c>
      <c r="J175" s="43" t="s">
        <v>4</v>
      </c>
      <c r="K175" s="43" t="s">
        <v>9</v>
      </c>
      <c r="L175" s="43" t="s">
        <v>8</v>
      </c>
      <c r="M175" s="43" t="s">
        <v>25</v>
      </c>
      <c r="N175" s="43" t="s">
        <v>7</v>
      </c>
      <c r="O175" s="43" t="s">
        <v>89</v>
      </c>
      <c r="P175" s="25"/>
      <c r="Q175" s="43" t="s">
        <v>5</v>
      </c>
      <c r="R175" s="43" t="s">
        <v>91</v>
      </c>
      <c r="T175" s="43" t="s">
        <v>10</v>
      </c>
    </row>
    <row r="176" spans="2:20" ht="15" x14ac:dyDescent="0.25">
      <c r="B176" s="3">
        <v>2016</v>
      </c>
      <c r="C176" s="19">
        <f t="shared" ref="C176:O176" si="65">((C$172+C$171)*C4+C$173*C34*1000)/1000000</f>
        <v>95.4358045170775</v>
      </c>
      <c r="D176" s="19">
        <f t="shared" si="65"/>
        <v>3.0206166863931165</v>
      </c>
      <c r="E176" s="19">
        <f t="shared" si="65"/>
        <v>0.71827291818882821</v>
      </c>
      <c r="F176" s="19">
        <f t="shared" si="65"/>
        <v>5.6112431781664789</v>
      </c>
      <c r="G176" s="19">
        <f t="shared" si="65"/>
        <v>4.7397372806457199</v>
      </c>
      <c r="H176" s="19">
        <f t="shared" si="65"/>
        <v>3.7406611452973988</v>
      </c>
      <c r="I176" s="19">
        <f t="shared" si="65"/>
        <v>2.7313107545794142</v>
      </c>
      <c r="J176" s="19">
        <f t="shared" si="65"/>
        <v>4.4864465988215327</v>
      </c>
      <c r="K176" s="19">
        <f t="shared" si="65"/>
        <v>0</v>
      </c>
      <c r="L176" s="19">
        <f t="shared" si="65"/>
        <v>2.6131623050841757</v>
      </c>
      <c r="M176" s="19">
        <f t="shared" si="65"/>
        <v>0</v>
      </c>
      <c r="N176" s="19">
        <f t="shared" si="65"/>
        <v>0.46729964879989472</v>
      </c>
      <c r="O176" s="19">
        <f t="shared" si="65"/>
        <v>0</v>
      </c>
      <c r="P176" s="62"/>
      <c r="Q176" s="39">
        <f>G176+N176</f>
        <v>5.2070369294456142</v>
      </c>
      <c r="R176" s="5">
        <f>SUM(K176:L176)</f>
        <v>2.6131623050841757</v>
      </c>
      <c r="T176" s="5">
        <f>SUM(C176:O176)</f>
        <v>123.56455503305405</v>
      </c>
    </row>
    <row r="177" spans="2:23" ht="15" x14ac:dyDescent="0.25">
      <c r="B177" s="3">
        <v>2030</v>
      </c>
      <c r="C177" s="19">
        <f t="shared" ref="C177:O177" si="66">((C$172+C$171)*C5+C$173*C35*1000)/1000000</f>
        <v>62.430459087484373</v>
      </c>
      <c r="D177" s="19">
        <f t="shared" si="66"/>
        <v>3.0042000751237827</v>
      </c>
      <c r="E177" s="19">
        <f t="shared" si="66"/>
        <v>2.112389915698091</v>
      </c>
      <c r="F177" s="19">
        <f t="shared" si="66"/>
        <v>0.77844296890691456</v>
      </c>
      <c r="G177" s="19">
        <f t="shared" si="66"/>
        <v>3.7732322622607182</v>
      </c>
      <c r="H177" s="19">
        <f t="shared" si="66"/>
        <v>3.8939475430539927</v>
      </c>
      <c r="I177" s="19">
        <f t="shared" si="66"/>
        <v>2.7668125955203489</v>
      </c>
      <c r="J177" s="19">
        <f t="shared" si="66"/>
        <v>4.459784484499437</v>
      </c>
      <c r="K177" s="19">
        <f t="shared" si="66"/>
        <v>0</v>
      </c>
      <c r="L177" s="19">
        <f t="shared" si="66"/>
        <v>2.6018809444491846</v>
      </c>
      <c r="M177" s="19">
        <f t="shared" si="66"/>
        <v>0</v>
      </c>
      <c r="N177" s="19">
        <f t="shared" si="66"/>
        <v>0.42799342751053521</v>
      </c>
      <c r="O177" s="19">
        <f t="shared" si="66"/>
        <v>0</v>
      </c>
      <c r="P177" s="62"/>
      <c r="Q177" s="39">
        <f>G177+N177</f>
        <v>4.2012256897712534</v>
      </c>
      <c r="R177" s="5">
        <f>SUM(K177:L177)</f>
        <v>2.6018809444491846</v>
      </c>
      <c r="T177" s="5">
        <f t="shared" ref="T177:T179" si="67">SUM(C177:O177)</f>
        <v>86.249143304507371</v>
      </c>
    </row>
    <row r="178" spans="2:23" ht="15" x14ac:dyDescent="0.25">
      <c r="B178" s="3">
        <v>2040</v>
      </c>
      <c r="C178" s="19">
        <f t="shared" ref="C178:O178" si="68">((C$172+C$171)*C6+C$173*C36*1000)/1000000</f>
        <v>20.419352141680214</v>
      </c>
      <c r="D178" s="19">
        <f t="shared" si="68"/>
        <v>3.0006749831577522</v>
      </c>
      <c r="E178" s="19">
        <f t="shared" si="68"/>
        <v>2.1990372683032566</v>
      </c>
      <c r="F178" s="19">
        <f t="shared" si="68"/>
        <v>0.37269566164798901</v>
      </c>
      <c r="G178" s="19">
        <f t="shared" si="68"/>
        <v>3.8586965634106329</v>
      </c>
      <c r="H178" s="19">
        <f t="shared" si="68"/>
        <v>0</v>
      </c>
      <c r="I178" s="19">
        <f t="shared" si="68"/>
        <v>2.790384725976677</v>
      </c>
      <c r="J178" s="19">
        <f t="shared" si="68"/>
        <v>1.3196734212934398</v>
      </c>
      <c r="K178" s="19">
        <f t="shared" si="68"/>
        <v>0</v>
      </c>
      <c r="L178" s="19">
        <f t="shared" si="68"/>
        <v>2.7854137318092604</v>
      </c>
      <c r="M178" s="19">
        <f t="shared" si="68"/>
        <v>0</v>
      </c>
      <c r="N178" s="19">
        <f t="shared" si="68"/>
        <v>0.41212931330551511</v>
      </c>
      <c r="O178" s="19">
        <f t="shared" si="68"/>
        <v>0</v>
      </c>
      <c r="P178" s="62"/>
      <c r="Q178" s="39">
        <f>G178+N178</f>
        <v>4.270825876716148</v>
      </c>
      <c r="R178" s="5">
        <f>SUM(K178:L178)</f>
        <v>2.7854137318092604</v>
      </c>
      <c r="T178" s="5">
        <f t="shared" si="67"/>
        <v>37.158057810584737</v>
      </c>
    </row>
    <row r="179" spans="2:23" ht="15" x14ac:dyDescent="0.25">
      <c r="B179" s="3">
        <v>2050</v>
      </c>
      <c r="C179" s="19">
        <f t="shared" ref="C179:O179" si="69">((C$172+C$171)*C7+C$173*C37*1000)/1000000</f>
        <v>0.80198999999999998</v>
      </c>
      <c r="D179" s="19">
        <f t="shared" si="69"/>
        <v>0</v>
      </c>
      <c r="E179" s="19">
        <f t="shared" si="69"/>
        <v>2.3241373776101435</v>
      </c>
      <c r="F179" s="19">
        <f t="shared" si="69"/>
        <v>0</v>
      </c>
      <c r="G179" s="19">
        <f t="shared" si="69"/>
        <v>3.8492062426975235</v>
      </c>
      <c r="H179" s="19">
        <f t="shared" si="69"/>
        <v>0</v>
      </c>
      <c r="I179" s="19">
        <f t="shared" si="69"/>
        <v>0</v>
      </c>
      <c r="J179" s="19">
        <f t="shared" si="69"/>
        <v>0</v>
      </c>
      <c r="K179" s="19">
        <f t="shared" si="69"/>
        <v>0</v>
      </c>
      <c r="L179" s="19">
        <f t="shared" si="69"/>
        <v>2.9317835936408883</v>
      </c>
      <c r="M179" s="19">
        <f t="shared" si="69"/>
        <v>0</v>
      </c>
      <c r="N179" s="19">
        <f t="shared" si="69"/>
        <v>0.387900471491751</v>
      </c>
      <c r="O179" s="19">
        <f t="shared" si="69"/>
        <v>0</v>
      </c>
      <c r="P179" s="62"/>
      <c r="Q179" s="39">
        <f>G179+N179</f>
        <v>4.2371067141892746</v>
      </c>
      <c r="R179" s="5">
        <f>SUM(K179:L179)</f>
        <v>2.9317835936408883</v>
      </c>
      <c r="T179" s="5">
        <f t="shared" si="67"/>
        <v>10.295017685440307</v>
      </c>
    </row>
    <row r="180" spans="2:23" ht="15" x14ac:dyDescent="0.25">
      <c r="B180" s="43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69"/>
      <c r="Q180" s="5"/>
      <c r="R180" s="5"/>
      <c r="S180" s="5"/>
      <c r="T180" s="5"/>
    </row>
    <row r="181" spans="2:23" s="32" customFormat="1" ht="15.75" customHeight="1" x14ac:dyDescent="0.25">
      <c r="B181" s="33" t="s">
        <v>21</v>
      </c>
      <c r="C181" s="93">
        <f>Inputs_Summary!E32</f>
        <v>4602</v>
      </c>
      <c r="D181" s="93">
        <f>Inputs_Summary!F32</f>
        <v>6454.9045250562804</v>
      </c>
      <c r="E181" s="93">
        <f>Inputs_Summary!G32</f>
        <v>901.10972649676557</v>
      </c>
      <c r="F181" s="93">
        <f>Inputs_Summary!H32</f>
        <v>794.35459770843181</v>
      </c>
      <c r="G181" s="93">
        <f>Inputs_Summary!I32</f>
        <v>0</v>
      </c>
      <c r="H181" s="93">
        <f>Inputs_Summary!J32</f>
        <v>0</v>
      </c>
      <c r="I181" s="93">
        <f>Inputs_Summary!K32</f>
        <v>0</v>
      </c>
      <c r="J181" s="93">
        <f>Inputs_Summary!L32</f>
        <v>0</v>
      </c>
      <c r="K181" s="93">
        <f>Inputs_Summary!M32</f>
        <v>2810</v>
      </c>
      <c r="L181" s="93">
        <f>Inputs_Summary!N32</f>
        <v>0</v>
      </c>
      <c r="M181" s="93">
        <f>Inputs_Summary!O32</f>
        <v>0</v>
      </c>
      <c r="N181" s="93">
        <f>Inputs_Summary!P32</f>
        <v>2328.2524449730454</v>
      </c>
      <c r="O181" s="93">
        <f>Inputs_Summary!Q32</f>
        <v>0</v>
      </c>
      <c r="P181" s="99"/>
    </row>
    <row r="182" spans="2:23" s="32" customFormat="1" ht="15" x14ac:dyDescent="0.25">
      <c r="B182" s="33" t="s">
        <v>19</v>
      </c>
      <c r="C182" s="93">
        <f>Inputs_Summary!E33</f>
        <v>924</v>
      </c>
      <c r="D182" s="93">
        <f>Inputs_Summary!F33</f>
        <v>968.06859205776175</v>
      </c>
      <c r="E182" s="93">
        <f>Inputs_Summary!G33</f>
        <v>165.17328519855596</v>
      </c>
      <c r="F182" s="93">
        <f>Inputs_Summary!H33</f>
        <v>160.79783393501805</v>
      </c>
      <c r="G182" s="93">
        <f>Inputs_Summary!I33</f>
        <v>0</v>
      </c>
      <c r="H182" s="93">
        <f>Inputs_Summary!J33</f>
        <v>0</v>
      </c>
      <c r="I182" s="93">
        <f>Inputs_Summary!K33</f>
        <v>0</v>
      </c>
      <c r="J182" s="93">
        <f>Inputs_Summary!L33</f>
        <v>0</v>
      </c>
      <c r="K182" s="93">
        <f>Inputs_Summary!M33</f>
        <v>2373</v>
      </c>
      <c r="L182" s="93">
        <f>Inputs_Summary!N33</f>
        <v>0</v>
      </c>
      <c r="M182" s="93">
        <f>Inputs_Summary!O33</f>
        <v>0</v>
      </c>
      <c r="N182" s="93">
        <f>Inputs_Summary!P33</f>
        <v>201.27075812274367</v>
      </c>
      <c r="O182" s="93">
        <f>Inputs_Summary!Q33</f>
        <v>0</v>
      </c>
      <c r="P182" s="99"/>
    </row>
    <row r="183" spans="2:23" s="32" customFormat="1" ht="15" x14ac:dyDescent="0.25">
      <c r="B183" s="33" t="s">
        <v>20</v>
      </c>
      <c r="C183" s="93">
        <f>Inputs_Summary!E34</f>
        <v>0.36168632057761729</v>
      </c>
      <c r="D183" s="93">
        <f>Inputs_Summary!F34</f>
        <v>0.12287246155234656</v>
      </c>
      <c r="E183" s="93">
        <f>Inputs_Summary!G34</f>
        <v>1.1311272563176895</v>
      </c>
      <c r="F183" s="93">
        <f>Inputs_Summary!H34</f>
        <v>1.730256498194946</v>
      </c>
      <c r="G183" s="93">
        <f>Inputs_Summary!I34</f>
        <v>1.24</v>
      </c>
      <c r="H183" s="93">
        <f>Inputs_Summary!J34</f>
        <v>0.70507456548359604</v>
      </c>
      <c r="I183" s="93">
        <f>Inputs_Summary!K34</f>
        <v>2.2907692307692309</v>
      </c>
      <c r="J183" s="93">
        <f>Inputs_Summary!L34</f>
        <v>0.79657730380457292</v>
      </c>
      <c r="K183" s="93">
        <f>Inputs_Summary!M34</f>
        <v>0.09</v>
      </c>
      <c r="L183" s="93">
        <f>Inputs_Summary!N34</f>
        <v>1.61</v>
      </c>
      <c r="M183" s="93">
        <f>Inputs_Summary!O34</f>
        <v>1.51</v>
      </c>
      <c r="N183" s="93">
        <f>Inputs_Summary!P34</f>
        <v>0</v>
      </c>
      <c r="O183" s="93">
        <f>Inputs_Summary!Q34</f>
        <v>0</v>
      </c>
      <c r="P183" s="99"/>
    </row>
    <row r="184" spans="2:23" s="58" customFormat="1" ht="15" x14ac:dyDescent="0.25">
      <c r="B184" s="67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</row>
    <row r="185" spans="2:23" ht="30" x14ac:dyDescent="0.25">
      <c r="B185" s="43" t="s">
        <v>46</v>
      </c>
      <c r="C185" s="43" t="s">
        <v>0</v>
      </c>
      <c r="D185" s="43" t="s">
        <v>1</v>
      </c>
      <c r="E185" s="43" t="s">
        <v>28</v>
      </c>
      <c r="F185" s="2" t="s">
        <v>29</v>
      </c>
      <c r="G185" s="2" t="s">
        <v>6</v>
      </c>
      <c r="H185" s="43" t="s">
        <v>2</v>
      </c>
      <c r="I185" s="43" t="s">
        <v>3</v>
      </c>
      <c r="J185" s="43" t="s">
        <v>4</v>
      </c>
      <c r="K185" s="43" t="s">
        <v>9</v>
      </c>
      <c r="L185" s="43" t="s">
        <v>8</v>
      </c>
      <c r="M185" s="43" t="s">
        <v>25</v>
      </c>
      <c r="N185" s="43" t="s">
        <v>7</v>
      </c>
      <c r="O185" s="43" t="s">
        <v>89</v>
      </c>
      <c r="P185" s="25"/>
      <c r="Q185" s="43" t="s">
        <v>5</v>
      </c>
      <c r="R185" s="43" t="s">
        <v>91</v>
      </c>
      <c r="T185" s="43" t="s">
        <v>10</v>
      </c>
    </row>
    <row r="186" spans="2:23" ht="15" x14ac:dyDescent="0.25">
      <c r="B186" s="3">
        <v>2016</v>
      </c>
      <c r="C186" s="19">
        <f t="shared" ref="C186:O186" si="70">((C$182+C$181)*C10+C$183*C40*1000)/1000000</f>
        <v>3.9897719999999999</v>
      </c>
      <c r="D186" s="19">
        <f t="shared" si="70"/>
        <v>0</v>
      </c>
      <c r="E186" s="19">
        <f t="shared" si="70"/>
        <v>0</v>
      </c>
      <c r="F186" s="19">
        <f t="shared" si="70"/>
        <v>0</v>
      </c>
      <c r="G186" s="19">
        <f t="shared" si="70"/>
        <v>0</v>
      </c>
      <c r="H186" s="19">
        <f t="shared" si="70"/>
        <v>0</v>
      </c>
      <c r="I186" s="19">
        <f t="shared" si="70"/>
        <v>0</v>
      </c>
      <c r="J186" s="19">
        <f t="shared" si="70"/>
        <v>0</v>
      </c>
      <c r="K186" s="19">
        <f t="shared" si="70"/>
        <v>0</v>
      </c>
      <c r="L186" s="19">
        <f t="shared" si="70"/>
        <v>0</v>
      </c>
      <c r="M186" s="19">
        <f t="shared" si="70"/>
        <v>0</v>
      </c>
      <c r="N186" s="19">
        <f t="shared" si="70"/>
        <v>0</v>
      </c>
      <c r="O186" s="19">
        <f t="shared" si="70"/>
        <v>0</v>
      </c>
      <c r="P186" s="62"/>
      <c r="Q186" s="39">
        <f>G186+N186</f>
        <v>0</v>
      </c>
      <c r="R186" s="5">
        <f>SUM(K186:L186)</f>
        <v>0</v>
      </c>
      <c r="T186" s="5">
        <f>SUM(C186:O186)</f>
        <v>3.9897719999999999</v>
      </c>
    </row>
    <row r="187" spans="2:23" ht="15" x14ac:dyDescent="0.25">
      <c r="B187" s="3">
        <v>2030</v>
      </c>
      <c r="C187" s="19">
        <f t="shared" ref="C187:O187" si="71">((C$182+C$181)*C11+C$183*C41*1000)/1000000</f>
        <v>77.106290021022843</v>
      </c>
      <c r="D187" s="19">
        <f t="shared" si="71"/>
        <v>0</v>
      </c>
      <c r="E187" s="19">
        <f t="shared" si="71"/>
        <v>0</v>
      </c>
      <c r="F187" s="19">
        <f t="shared" si="71"/>
        <v>0</v>
      </c>
      <c r="G187" s="19">
        <f t="shared" si="71"/>
        <v>0.24157335955284204</v>
      </c>
      <c r="H187" s="19">
        <f t="shared" si="71"/>
        <v>6.3300974997103756</v>
      </c>
      <c r="I187" s="19">
        <f t="shared" si="71"/>
        <v>9.6663128878437288</v>
      </c>
      <c r="J187" s="19">
        <f t="shared" si="71"/>
        <v>1.8825561941247988</v>
      </c>
      <c r="K187" s="19">
        <f t="shared" si="71"/>
        <v>0.29140636205655951</v>
      </c>
      <c r="L187" s="19">
        <f t="shared" si="71"/>
        <v>1.6569562019084461</v>
      </c>
      <c r="M187" s="19">
        <f t="shared" si="71"/>
        <v>0</v>
      </c>
      <c r="N187" s="19">
        <f t="shared" si="71"/>
        <v>3.3693249065235911</v>
      </c>
      <c r="O187" s="19">
        <f t="shared" si="71"/>
        <v>0</v>
      </c>
      <c r="P187" s="62"/>
      <c r="Q187" s="39">
        <f>G187+N187</f>
        <v>3.610898266076433</v>
      </c>
      <c r="R187" s="5">
        <f>SUM(K187:L187)</f>
        <v>1.9483625639650055</v>
      </c>
      <c r="T187" s="5">
        <f t="shared" ref="T187:T189" si="72">SUM(C187:O187)</f>
        <v>100.54451743274319</v>
      </c>
    </row>
    <row r="188" spans="2:23" ht="15" x14ac:dyDescent="0.25">
      <c r="B188" s="3">
        <v>2040</v>
      </c>
      <c r="C188" s="19">
        <f t="shared" ref="C188:O188" si="73">((C$182+C$181)*C12+C$183*C42*1000)/1000000</f>
        <v>78.363626439465421</v>
      </c>
      <c r="D188" s="19">
        <f t="shared" si="73"/>
        <v>0</v>
      </c>
      <c r="E188" s="19">
        <f t="shared" si="73"/>
        <v>0</v>
      </c>
      <c r="F188" s="19">
        <f t="shared" si="73"/>
        <v>0</v>
      </c>
      <c r="G188" s="19">
        <f t="shared" si="73"/>
        <v>0.24282553326897022</v>
      </c>
      <c r="H188" s="19">
        <f t="shared" si="73"/>
        <v>0</v>
      </c>
      <c r="I188" s="19">
        <f t="shared" si="73"/>
        <v>9.6804406547673594</v>
      </c>
      <c r="J188" s="19">
        <f t="shared" si="73"/>
        <v>1.893495340875853</v>
      </c>
      <c r="K188" s="19">
        <f t="shared" si="73"/>
        <v>0.29214267044202652</v>
      </c>
      <c r="L188" s="19">
        <f t="shared" si="73"/>
        <v>1.6572491161171132</v>
      </c>
      <c r="M188" s="19">
        <f t="shared" si="73"/>
        <v>0</v>
      </c>
      <c r="N188" s="19">
        <f t="shared" si="73"/>
        <v>3.3693249065235911</v>
      </c>
      <c r="O188" s="19">
        <f t="shared" si="73"/>
        <v>0</v>
      </c>
      <c r="P188" s="62"/>
      <c r="Q188" s="39">
        <f>G188+N188</f>
        <v>3.6121504397925612</v>
      </c>
      <c r="R188" s="5">
        <f>SUM(K188:L188)</f>
        <v>1.9493917865591397</v>
      </c>
      <c r="T188" s="5">
        <f t="shared" si="72"/>
        <v>95.499104661460336</v>
      </c>
    </row>
    <row r="189" spans="2:23" ht="15" x14ac:dyDescent="0.25">
      <c r="B189" s="3">
        <v>2050</v>
      </c>
      <c r="C189" s="19">
        <f t="shared" ref="C189:O189" si="74">((C$182+C$181)*C13+C$183*C43*1000)/1000000</f>
        <v>79.106758496545467</v>
      </c>
      <c r="D189" s="19">
        <f t="shared" si="74"/>
        <v>0</v>
      </c>
      <c r="E189" s="19">
        <f t="shared" si="74"/>
        <v>0</v>
      </c>
      <c r="F189" s="19">
        <f t="shared" si="74"/>
        <v>0</v>
      </c>
      <c r="G189" s="19">
        <f t="shared" si="74"/>
        <v>0.23976126025262709</v>
      </c>
      <c r="H189" s="19">
        <f t="shared" si="74"/>
        <v>0</v>
      </c>
      <c r="I189" s="19">
        <f t="shared" si="74"/>
        <v>0</v>
      </c>
      <c r="J189" s="19">
        <f t="shared" si="74"/>
        <v>0</v>
      </c>
      <c r="K189" s="19">
        <f t="shared" si="74"/>
        <v>0</v>
      </c>
      <c r="L189" s="19">
        <f t="shared" si="74"/>
        <v>0</v>
      </c>
      <c r="M189" s="19">
        <f t="shared" si="74"/>
        <v>0</v>
      </c>
      <c r="N189" s="19">
        <f t="shared" si="74"/>
        <v>3.3693249065235911</v>
      </c>
      <c r="O189" s="19">
        <f t="shared" si="74"/>
        <v>0</v>
      </c>
      <c r="P189" s="62"/>
      <c r="Q189" s="39">
        <f>G189+N189</f>
        <v>3.6090861667762182</v>
      </c>
      <c r="R189" s="5">
        <f>SUM(K189:L189)</f>
        <v>0</v>
      </c>
      <c r="T189" s="5">
        <f t="shared" si="72"/>
        <v>82.715844663321676</v>
      </c>
    </row>
    <row r="190" spans="2:23" ht="15" x14ac:dyDescent="0.25"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69"/>
      <c r="Q190" s="5"/>
      <c r="R190" s="5"/>
      <c r="S190" s="5"/>
      <c r="T190" s="5"/>
    </row>
    <row r="191" spans="2:23" ht="15" x14ac:dyDescent="0.25">
      <c r="Q191" s="5"/>
      <c r="R191" s="5"/>
      <c r="S191" s="5"/>
      <c r="T191" s="5"/>
      <c r="W191" s="5"/>
    </row>
    <row r="192" spans="2:23" ht="15" x14ac:dyDescent="0.25">
      <c r="B192" s="33" t="s">
        <v>21</v>
      </c>
      <c r="C192" s="95">
        <f>Inputs_Summary!E37</f>
        <v>3559.4976938012715</v>
      </c>
      <c r="D192" s="95">
        <f>Inputs_Summary!F37</f>
        <v>6454.9045250562804</v>
      </c>
      <c r="E192" s="95">
        <f>Inputs_Summary!G37</f>
        <v>901.10972649676557</v>
      </c>
      <c r="F192" s="95">
        <f>Inputs_Summary!H37</f>
        <v>794.35459770843181</v>
      </c>
      <c r="G192" s="95">
        <f>Inputs_Summary!I37</f>
        <v>5564</v>
      </c>
      <c r="H192" s="95">
        <f>Inputs_Summary!J37</f>
        <v>1911</v>
      </c>
      <c r="I192" s="95">
        <f>Inputs_Summary!K37</f>
        <v>10206</v>
      </c>
      <c r="J192" s="95">
        <f>Inputs_Summary!L37</f>
        <v>1073</v>
      </c>
      <c r="K192" s="95">
        <f>Inputs_Summary!M37</f>
        <v>1154.0789960129314</v>
      </c>
      <c r="L192" s="95">
        <f>Inputs_Summary!N37</f>
        <v>4395</v>
      </c>
      <c r="M192" s="95">
        <f>Inputs_Summary!O37</f>
        <v>0</v>
      </c>
      <c r="N192" s="95">
        <f>Inputs_Summary!P37</f>
        <v>2328.2524449730454</v>
      </c>
      <c r="O192" s="95">
        <f>Inputs_Summary!Q37</f>
        <v>2512</v>
      </c>
      <c r="P192" s="101"/>
      <c r="Q192" s="5"/>
      <c r="R192" s="5"/>
      <c r="S192" s="5"/>
      <c r="T192" s="5"/>
    </row>
    <row r="193" spans="1:20" ht="15" x14ac:dyDescent="0.25">
      <c r="B193" s="3">
        <v>2030</v>
      </c>
      <c r="C193" s="95">
        <f>Inputs_Summary!E38</f>
        <v>3559.4976938012715</v>
      </c>
      <c r="D193" s="95">
        <f>Inputs_Summary!F38</f>
        <v>6281</v>
      </c>
      <c r="E193" s="95">
        <f>Inputs_Summary!G38</f>
        <v>901.10972649676557</v>
      </c>
      <c r="F193" s="95">
        <f>Inputs_Summary!H38</f>
        <v>794.35459770843181</v>
      </c>
      <c r="G193" s="95">
        <f>Inputs_Summary!I38</f>
        <v>5564</v>
      </c>
      <c r="H193" s="95">
        <f>Inputs_Summary!J38</f>
        <v>1911</v>
      </c>
      <c r="I193" s="95">
        <f>Inputs_Summary!K38</f>
        <v>8246</v>
      </c>
      <c r="J193" s="95">
        <f>Inputs_Summary!L38</f>
        <v>967</v>
      </c>
      <c r="K193" s="95">
        <f>Inputs_Summary!M38</f>
        <v>1154.0789960129314</v>
      </c>
      <c r="L193" s="95">
        <f>Inputs_Summary!N38</f>
        <v>4395</v>
      </c>
      <c r="M193" s="95">
        <f>Inputs_Summary!O38</f>
        <v>0</v>
      </c>
      <c r="N193" s="95">
        <f>Inputs_Summary!P38</f>
        <v>2328.2524449730454</v>
      </c>
      <c r="O193" s="95">
        <f>Inputs_Summary!Q38</f>
        <v>2512</v>
      </c>
      <c r="P193" s="101"/>
      <c r="Q193" s="5"/>
      <c r="R193" s="5"/>
      <c r="S193" s="5"/>
      <c r="T193" s="5"/>
    </row>
    <row r="194" spans="1:20" ht="15" x14ac:dyDescent="0.25">
      <c r="B194" s="3">
        <v>2040</v>
      </c>
      <c r="C194" s="95">
        <f>Inputs_Summary!E39</f>
        <v>3559.4976938012715</v>
      </c>
      <c r="D194" s="95">
        <f>Inputs_Summary!F39</f>
        <v>6281</v>
      </c>
      <c r="E194" s="95">
        <f>Inputs_Summary!G39</f>
        <v>901.10972649676557</v>
      </c>
      <c r="F194" s="95">
        <f>Inputs_Summary!H39</f>
        <v>794.35459770843181</v>
      </c>
      <c r="G194" s="95">
        <f>Inputs_Summary!I39</f>
        <v>5564</v>
      </c>
      <c r="H194" s="95">
        <f>Inputs_Summary!J39</f>
        <v>1911</v>
      </c>
      <c r="I194" s="95">
        <f>Inputs_Summary!K39</f>
        <v>7196</v>
      </c>
      <c r="J194" s="95">
        <f>Inputs_Summary!L39</f>
        <v>911</v>
      </c>
      <c r="K194" s="95">
        <f>Inputs_Summary!M39</f>
        <v>1154.0789960129314</v>
      </c>
      <c r="L194" s="95">
        <f>Inputs_Summary!N39</f>
        <v>4395</v>
      </c>
      <c r="M194" s="95">
        <f>Inputs_Summary!O39</f>
        <v>0</v>
      </c>
      <c r="N194" s="95">
        <f>Inputs_Summary!P39</f>
        <v>2328.2524449730454</v>
      </c>
      <c r="O194" s="95">
        <f>Inputs_Summary!Q39</f>
        <v>2512</v>
      </c>
      <c r="P194" s="101"/>
      <c r="Q194" s="5"/>
      <c r="R194" s="5"/>
      <c r="S194" s="5"/>
      <c r="T194" s="5"/>
    </row>
    <row r="195" spans="1:20" ht="15" x14ac:dyDescent="0.25">
      <c r="B195" s="3">
        <v>2050</v>
      </c>
      <c r="C195" s="95">
        <f>Inputs_Summary!E40</f>
        <v>3559.4976938012715</v>
      </c>
      <c r="D195" s="95">
        <f>Inputs_Summary!F40</f>
        <v>6281</v>
      </c>
      <c r="E195" s="95">
        <f>Inputs_Summary!G40</f>
        <v>901.10972649676557</v>
      </c>
      <c r="F195" s="95">
        <f>Inputs_Summary!H40</f>
        <v>794.35459770843181</v>
      </c>
      <c r="G195" s="95">
        <f>Inputs_Summary!I40</f>
        <v>5564</v>
      </c>
      <c r="H195" s="95">
        <f>Inputs_Summary!J40</f>
        <v>1911</v>
      </c>
      <c r="I195" s="95">
        <f>Inputs_Summary!K40</f>
        <v>6146</v>
      </c>
      <c r="J195" s="95">
        <f>Inputs_Summary!L40</f>
        <v>854</v>
      </c>
      <c r="K195" s="95">
        <f>Inputs_Summary!M40</f>
        <v>1154.0789960129314</v>
      </c>
      <c r="L195" s="95">
        <f>Inputs_Summary!N40</f>
        <v>4395</v>
      </c>
      <c r="M195" s="95">
        <f>Inputs_Summary!O40</f>
        <v>0</v>
      </c>
      <c r="N195" s="95">
        <f>Inputs_Summary!P40</f>
        <v>2328.2524449730454</v>
      </c>
      <c r="O195" s="95">
        <f>Inputs_Summary!Q40</f>
        <v>2512</v>
      </c>
      <c r="P195" s="101"/>
      <c r="Q195" s="5"/>
      <c r="R195" s="5"/>
      <c r="S195" s="5"/>
      <c r="T195" s="5"/>
    </row>
    <row r="196" spans="1:20" s="32" customFormat="1" ht="15" x14ac:dyDescent="0.25">
      <c r="B196" s="33" t="s">
        <v>19</v>
      </c>
      <c r="C196" s="95">
        <f>Inputs_Summary!E41</f>
        <v>924</v>
      </c>
      <c r="D196" s="95">
        <f>Inputs_Summary!F41</f>
        <v>968.06859205776175</v>
      </c>
      <c r="E196" s="95">
        <f>Inputs_Summary!G41</f>
        <v>165.17328519855596</v>
      </c>
      <c r="F196" s="95">
        <f>Inputs_Summary!H41</f>
        <v>160.79783393501805</v>
      </c>
      <c r="G196" s="95">
        <f>Inputs_Summary!I41</f>
        <v>907.42483754512637</v>
      </c>
      <c r="H196" s="95">
        <f>Inputs_Summary!J41</f>
        <v>0</v>
      </c>
      <c r="I196" s="95">
        <f>Inputs_Summary!K41</f>
        <v>0</v>
      </c>
      <c r="J196" s="95">
        <f>Inputs_Summary!L41</f>
        <v>0</v>
      </c>
      <c r="K196" s="95">
        <f>Inputs_Summary!M41</f>
        <v>422</v>
      </c>
      <c r="L196" s="95">
        <f>Inputs_Summary!N41</f>
        <v>1655.0144404332129</v>
      </c>
      <c r="M196" s="95">
        <f>Inputs_Summary!O41</f>
        <v>0</v>
      </c>
      <c r="N196" s="95">
        <f>Inputs_Summary!P41</f>
        <v>201.27075812274367</v>
      </c>
      <c r="O196" s="95">
        <f>Inputs_Summary!Q41</f>
        <v>618</v>
      </c>
      <c r="P196" s="101"/>
    </row>
    <row r="197" spans="1:20" ht="15" x14ac:dyDescent="0.25">
      <c r="B197" s="3">
        <v>2030</v>
      </c>
      <c r="C197" s="95">
        <f>Inputs_Summary!E42</f>
        <v>924</v>
      </c>
      <c r="D197" s="95">
        <f>Inputs_Summary!F42</f>
        <v>968.06859205776175</v>
      </c>
      <c r="E197" s="95">
        <f>Inputs_Summary!G42</f>
        <v>165.17328519855596</v>
      </c>
      <c r="F197" s="95">
        <f>Inputs_Summary!H42</f>
        <v>160.79783393501805</v>
      </c>
      <c r="G197" s="95">
        <f>Inputs_Summary!I42</f>
        <v>907.42483754512637</v>
      </c>
      <c r="H197" s="95">
        <f>Inputs_Summary!J42</f>
        <v>0</v>
      </c>
      <c r="I197" s="95">
        <f>Inputs_Summary!K42</f>
        <v>0</v>
      </c>
      <c r="J197" s="95">
        <f>Inputs_Summary!L42</f>
        <v>0</v>
      </c>
      <c r="K197" s="95">
        <f>Inputs_Summary!M42</f>
        <v>422</v>
      </c>
      <c r="L197" s="95">
        <f>Inputs_Summary!N42</f>
        <v>1655.0144404332129</v>
      </c>
      <c r="M197" s="95">
        <f>Inputs_Summary!O42</f>
        <v>0</v>
      </c>
      <c r="N197" s="95">
        <f>Inputs_Summary!P42</f>
        <v>201.27075812274367</v>
      </c>
      <c r="O197" s="95">
        <f>Inputs_Summary!Q42</f>
        <v>618</v>
      </c>
      <c r="P197" s="101"/>
      <c r="Q197" s="5"/>
      <c r="R197" s="5"/>
      <c r="S197" s="5"/>
      <c r="T197" s="5"/>
    </row>
    <row r="198" spans="1:20" ht="15" x14ac:dyDescent="0.25">
      <c r="B198" s="3">
        <v>2040</v>
      </c>
      <c r="C198" s="95">
        <f>Inputs_Summary!E43</f>
        <v>924</v>
      </c>
      <c r="D198" s="95">
        <f>Inputs_Summary!F43</f>
        <v>968.06859205776175</v>
      </c>
      <c r="E198" s="95">
        <f>Inputs_Summary!G43</f>
        <v>165.17328519855596</v>
      </c>
      <c r="F198" s="95">
        <f>Inputs_Summary!H43</f>
        <v>160.79783393501805</v>
      </c>
      <c r="G198" s="95">
        <f>Inputs_Summary!I43</f>
        <v>907.42483754512637</v>
      </c>
      <c r="H198" s="95">
        <f>Inputs_Summary!J43</f>
        <v>0</v>
      </c>
      <c r="I198" s="95">
        <f>Inputs_Summary!K43</f>
        <v>0</v>
      </c>
      <c r="J198" s="95">
        <f>Inputs_Summary!L43</f>
        <v>0</v>
      </c>
      <c r="K198" s="95">
        <f>Inputs_Summary!M43</f>
        <v>422</v>
      </c>
      <c r="L198" s="95">
        <f>Inputs_Summary!N43</f>
        <v>1655.0144404332129</v>
      </c>
      <c r="M198" s="95">
        <f>Inputs_Summary!O43</f>
        <v>0</v>
      </c>
      <c r="N198" s="95">
        <f>Inputs_Summary!P43</f>
        <v>201.27075812274367</v>
      </c>
      <c r="O198" s="95">
        <f>Inputs_Summary!Q43</f>
        <v>618</v>
      </c>
      <c r="P198" s="101"/>
      <c r="Q198" s="5"/>
      <c r="R198" s="5"/>
      <c r="S198" s="5"/>
      <c r="T198" s="5"/>
    </row>
    <row r="199" spans="1:20" ht="15" x14ac:dyDescent="0.25">
      <c r="B199" s="3">
        <v>2050</v>
      </c>
      <c r="C199" s="95">
        <f>Inputs_Summary!E44</f>
        <v>924</v>
      </c>
      <c r="D199" s="95">
        <f>Inputs_Summary!F44</f>
        <v>968.06859205776175</v>
      </c>
      <c r="E199" s="95">
        <f>Inputs_Summary!G44</f>
        <v>165.17328519855596</v>
      </c>
      <c r="F199" s="95">
        <f>Inputs_Summary!H44</f>
        <v>160.79783393501805</v>
      </c>
      <c r="G199" s="95">
        <f>Inputs_Summary!I44</f>
        <v>907.42483754512637</v>
      </c>
      <c r="H199" s="95">
        <f>Inputs_Summary!J44</f>
        <v>0</v>
      </c>
      <c r="I199" s="95">
        <f>Inputs_Summary!K44</f>
        <v>0</v>
      </c>
      <c r="J199" s="95">
        <f>Inputs_Summary!L44</f>
        <v>0</v>
      </c>
      <c r="K199" s="95">
        <f>Inputs_Summary!M44</f>
        <v>422</v>
      </c>
      <c r="L199" s="95">
        <f>Inputs_Summary!N44</f>
        <v>1655.0144404332129</v>
      </c>
      <c r="M199" s="95">
        <f>Inputs_Summary!O44</f>
        <v>0</v>
      </c>
      <c r="N199" s="95">
        <f>Inputs_Summary!P44</f>
        <v>201.27075812274367</v>
      </c>
      <c r="O199" s="95">
        <f>Inputs_Summary!Q44</f>
        <v>618</v>
      </c>
      <c r="P199" s="101"/>
      <c r="Q199" s="5"/>
      <c r="R199" s="5"/>
      <c r="S199" s="5"/>
      <c r="T199" s="5"/>
    </row>
    <row r="200" spans="1:20" s="32" customFormat="1" ht="15" x14ac:dyDescent="0.25">
      <c r="B200" s="33" t="s">
        <v>20</v>
      </c>
      <c r="C200" s="94">
        <f>Inputs_Summary!E45</f>
        <v>0.36168632057761729</v>
      </c>
      <c r="D200" s="94">
        <f>Inputs_Summary!F45</f>
        <v>0.12287246155234656</v>
      </c>
      <c r="E200" s="94">
        <f>Inputs_Summary!G45</f>
        <v>1.1311272563176895</v>
      </c>
      <c r="F200" s="94">
        <f>Inputs_Summary!H45</f>
        <v>1.7302564981949458</v>
      </c>
      <c r="G200" s="94">
        <f>Inputs_Summary!I45</f>
        <v>0</v>
      </c>
      <c r="H200" s="94">
        <f>Inputs_Summary!J45</f>
        <v>0</v>
      </c>
      <c r="I200" s="94">
        <f>Inputs_Summary!K45</f>
        <v>0</v>
      </c>
      <c r="J200" s="94">
        <f>Inputs_Summary!L45</f>
        <v>0</v>
      </c>
      <c r="K200" s="94">
        <f>Inputs_Summary!M45</f>
        <v>1.42</v>
      </c>
      <c r="L200" s="94">
        <f>Inputs_Summary!N45</f>
        <v>0.46</v>
      </c>
      <c r="M200" s="94">
        <f>Inputs_Summary!O45</f>
        <v>1.51</v>
      </c>
      <c r="N200" s="94">
        <f>Inputs_Summary!P45</f>
        <v>0</v>
      </c>
      <c r="O200" s="94">
        <f>Inputs_Summary!Q45</f>
        <v>3.2000000000000001E-2</v>
      </c>
      <c r="P200" s="100"/>
    </row>
    <row r="201" spans="1:20" ht="15" x14ac:dyDescent="0.25">
      <c r="B201" s="3">
        <v>2030</v>
      </c>
      <c r="C201" s="94">
        <f>Inputs_Summary!E46</f>
        <v>0.36168632057761729</v>
      </c>
      <c r="D201" s="94">
        <f>Inputs_Summary!F46</f>
        <v>0.12287246155234656</v>
      </c>
      <c r="E201" s="94">
        <f>Inputs_Summary!G46</f>
        <v>1.1311272563176895</v>
      </c>
      <c r="F201" s="94">
        <f>Inputs_Summary!H46</f>
        <v>1.7302564981949458</v>
      </c>
      <c r="G201" s="94">
        <f>Inputs_Summary!I46</f>
        <v>0</v>
      </c>
      <c r="H201" s="94">
        <f>Inputs_Summary!J46</f>
        <v>0</v>
      </c>
      <c r="I201" s="94">
        <f>Inputs_Summary!K46</f>
        <v>0</v>
      </c>
      <c r="J201" s="94">
        <f>Inputs_Summary!L46</f>
        <v>0</v>
      </c>
      <c r="K201" s="94">
        <f>Inputs_Summary!M46</f>
        <v>1.42</v>
      </c>
      <c r="L201" s="94">
        <f>Inputs_Summary!N46</f>
        <v>0.46</v>
      </c>
      <c r="M201" s="94">
        <f>Inputs_Summary!O46</f>
        <v>1.51</v>
      </c>
      <c r="N201" s="94">
        <f>Inputs_Summary!P46</f>
        <v>0</v>
      </c>
      <c r="O201" s="94">
        <f>Inputs_Summary!Q46</f>
        <v>3.2000000000000001E-2</v>
      </c>
      <c r="P201" s="100"/>
      <c r="Q201" s="5"/>
      <c r="R201" s="5"/>
      <c r="S201" s="5"/>
      <c r="T201" s="5"/>
    </row>
    <row r="202" spans="1:20" ht="15" x14ac:dyDescent="0.25">
      <c r="B202" s="3">
        <v>2040</v>
      </c>
      <c r="C202" s="94">
        <f>Inputs_Summary!E47</f>
        <v>0.36168632057761729</v>
      </c>
      <c r="D202" s="94">
        <f>Inputs_Summary!F47</f>
        <v>0.12287246155234656</v>
      </c>
      <c r="E202" s="94">
        <f>Inputs_Summary!G47</f>
        <v>1.1311272563176895</v>
      </c>
      <c r="F202" s="94">
        <f>Inputs_Summary!H47</f>
        <v>1.7302564981949458</v>
      </c>
      <c r="G202" s="94">
        <f>Inputs_Summary!I47</f>
        <v>0</v>
      </c>
      <c r="H202" s="94">
        <f>Inputs_Summary!J47</f>
        <v>0</v>
      </c>
      <c r="I202" s="94">
        <f>Inputs_Summary!K47</f>
        <v>0</v>
      </c>
      <c r="J202" s="94">
        <f>Inputs_Summary!L47</f>
        <v>0</v>
      </c>
      <c r="K202" s="94">
        <f>Inputs_Summary!M47</f>
        <v>1.42</v>
      </c>
      <c r="L202" s="94">
        <f>Inputs_Summary!N47</f>
        <v>0.46</v>
      </c>
      <c r="M202" s="94">
        <f>Inputs_Summary!O47</f>
        <v>1.51</v>
      </c>
      <c r="N202" s="94">
        <f>Inputs_Summary!P47</f>
        <v>0</v>
      </c>
      <c r="O202" s="94">
        <f>Inputs_Summary!Q47</f>
        <v>3.2000000000000001E-2</v>
      </c>
      <c r="P202" s="100"/>
      <c r="Q202" s="5"/>
      <c r="R202" s="5"/>
      <c r="S202" s="5"/>
      <c r="T202" s="5"/>
    </row>
    <row r="203" spans="1:20" ht="15" x14ac:dyDescent="0.25">
      <c r="B203" s="3">
        <v>2050</v>
      </c>
      <c r="C203" s="94">
        <f>Inputs_Summary!E48</f>
        <v>0.36168632057761729</v>
      </c>
      <c r="D203" s="94">
        <f>Inputs_Summary!F48</f>
        <v>0.12287246155234656</v>
      </c>
      <c r="E203" s="94">
        <f>Inputs_Summary!G48</f>
        <v>1.1311272563176895</v>
      </c>
      <c r="F203" s="94">
        <f>Inputs_Summary!H48</f>
        <v>1.7302564981949458</v>
      </c>
      <c r="G203" s="94">
        <f>Inputs_Summary!I48</f>
        <v>0</v>
      </c>
      <c r="H203" s="94">
        <f>Inputs_Summary!J48</f>
        <v>0</v>
      </c>
      <c r="I203" s="94">
        <f>Inputs_Summary!K48</f>
        <v>0</v>
      </c>
      <c r="J203" s="94">
        <f>Inputs_Summary!L48</f>
        <v>0</v>
      </c>
      <c r="K203" s="94">
        <f>Inputs_Summary!M48</f>
        <v>1.42</v>
      </c>
      <c r="L203" s="94">
        <f>Inputs_Summary!N48</f>
        <v>0.46</v>
      </c>
      <c r="M203" s="94">
        <f>Inputs_Summary!O48</f>
        <v>1.51</v>
      </c>
      <c r="N203" s="94">
        <f>Inputs_Summary!P48</f>
        <v>0</v>
      </c>
      <c r="O203" s="94">
        <f>Inputs_Summary!Q48</f>
        <v>3.2000000000000001E-2</v>
      </c>
      <c r="P203" s="100"/>
      <c r="Q203" s="5"/>
      <c r="R203" s="5"/>
      <c r="S203" s="5"/>
      <c r="T203" s="5"/>
    </row>
    <row r="204" spans="1:20" s="58" customFormat="1" ht="15" x14ac:dyDescent="0.25">
      <c r="B204" s="67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</row>
    <row r="205" spans="1:20" ht="30" x14ac:dyDescent="0.25">
      <c r="B205" s="43" t="s">
        <v>22</v>
      </c>
      <c r="C205" s="43" t="s">
        <v>0</v>
      </c>
      <c r="D205" s="43" t="s">
        <v>1</v>
      </c>
      <c r="E205" s="43" t="s">
        <v>28</v>
      </c>
      <c r="F205" s="2" t="s">
        <v>29</v>
      </c>
      <c r="G205" s="2" t="s">
        <v>6</v>
      </c>
      <c r="H205" s="43" t="s">
        <v>2</v>
      </c>
      <c r="I205" s="43" t="s">
        <v>3</v>
      </c>
      <c r="J205" s="43" t="s">
        <v>4</v>
      </c>
      <c r="K205" s="43" t="s">
        <v>9</v>
      </c>
      <c r="L205" s="43" t="s">
        <v>8</v>
      </c>
      <c r="M205" s="43" t="s">
        <v>25</v>
      </c>
      <c r="N205" s="43" t="s">
        <v>7</v>
      </c>
      <c r="O205" s="43" t="s">
        <v>89</v>
      </c>
      <c r="P205" s="25"/>
      <c r="Q205" s="43" t="s">
        <v>5</v>
      </c>
      <c r="R205" s="43" t="s">
        <v>91</v>
      </c>
      <c r="T205" s="43" t="s">
        <v>10</v>
      </c>
    </row>
    <row r="206" spans="1:20" ht="15" x14ac:dyDescent="0.25">
      <c r="A206" s="15">
        <f>C176+C186</f>
        <v>99.425576517077502</v>
      </c>
      <c r="B206" s="3">
        <v>2016</v>
      </c>
      <c r="C206" s="19">
        <f t="shared" ref="C206:O206" si="75">((C196+C192)*C16+C200*C46*1000)/1000000</f>
        <v>0</v>
      </c>
      <c r="D206" s="19">
        <f t="shared" si="75"/>
        <v>0</v>
      </c>
      <c r="E206" s="19">
        <f t="shared" si="75"/>
        <v>0</v>
      </c>
      <c r="F206" s="19">
        <f t="shared" si="75"/>
        <v>0</v>
      </c>
      <c r="G206" s="19">
        <f t="shared" si="75"/>
        <v>0</v>
      </c>
      <c r="H206" s="19">
        <f t="shared" si="75"/>
        <v>0</v>
      </c>
      <c r="I206" s="19">
        <f t="shared" si="75"/>
        <v>0</v>
      </c>
      <c r="J206" s="19">
        <f t="shared" si="75"/>
        <v>0</v>
      </c>
      <c r="K206" s="19">
        <f t="shared" si="75"/>
        <v>0</v>
      </c>
      <c r="L206" s="19">
        <f t="shared" si="75"/>
        <v>0</v>
      </c>
      <c r="M206" s="19">
        <f t="shared" si="75"/>
        <v>0</v>
      </c>
      <c r="N206" s="19">
        <f t="shared" si="75"/>
        <v>0</v>
      </c>
      <c r="O206" s="19">
        <f t="shared" si="75"/>
        <v>0</v>
      </c>
      <c r="P206" s="62"/>
      <c r="Q206" s="39">
        <f>G206+N206</f>
        <v>0</v>
      </c>
      <c r="R206" s="5">
        <f>SUM(K206:L206)</f>
        <v>0</v>
      </c>
      <c r="T206" s="5">
        <f>SUM(C206:O206)</f>
        <v>0</v>
      </c>
    </row>
    <row r="207" spans="1:20" ht="15" x14ac:dyDescent="0.25">
      <c r="A207" s="15">
        <f t="shared" ref="A207:A209" si="76">C177+C187</f>
        <v>139.53674910850722</v>
      </c>
      <c r="B207" s="3">
        <v>2030</v>
      </c>
      <c r="C207" s="19">
        <f t="shared" ref="C207:O207" si="77">((C197+C193)*C17+C201*C47*1000)/1000000</f>
        <v>0</v>
      </c>
      <c r="D207" s="19">
        <f t="shared" si="77"/>
        <v>0</v>
      </c>
      <c r="E207" s="19">
        <f t="shared" si="77"/>
        <v>33.647739562560751</v>
      </c>
      <c r="F207" s="19">
        <f t="shared" si="77"/>
        <v>7.4972468951957856</v>
      </c>
      <c r="G207" s="19">
        <f t="shared" si="77"/>
        <v>0</v>
      </c>
      <c r="H207" s="19">
        <f t="shared" si="77"/>
        <v>28.091699999999999</v>
      </c>
      <c r="I207" s="19">
        <f t="shared" si="77"/>
        <v>0</v>
      </c>
      <c r="J207" s="19">
        <f t="shared" si="77"/>
        <v>12.174530000000001</v>
      </c>
      <c r="K207" s="19">
        <f t="shared" si="77"/>
        <v>2.8504711646353078</v>
      </c>
      <c r="L207" s="19">
        <f t="shared" si="77"/>
        <v>0</v>
      </c>
      <c r="M207" s="19">
        <f t="shared" si="77"/>
        <v>9.5491040032667937E-2</v>
      </c>
      <c r="N207" s="19">
        <f t="shared" si="77"/>
        <v>0</v>
      </c>
      <c r="O207" s="19">
        <f t="shared" si="77"/>
        <v>0</v>
      </c>
      <c r="P207" s="62"/>
      <c r="Q207" s="39">
        <f>G207+N207</f>
        <v>0</v>
      </c>
      <c r="R207" s="5">
        <f>SUM(K207:L207)</f>
        <v>2.8504711646353078</v>
      </c>
      <c r="T207" s="5">
        <f t="shared" ref="T207:T209" si="78">SUM(C207:O207)</f>
        <v>84.357178662424516</v>
      </c>
    </row>
    <row r="208" spans="1:20" ht="15" x14ac:dyDescent="0.25">
      <c r="A208" s="15">
        <f t="shared" si="76"/>
        <v>98.782978581145642</v>
      </c>
      <c r="B208" s="3">
        <v>2040</v>
      </c>
      <c r="C208" s="19">
        <f t="shared" ref="C208:O208" si="79">((C198+C194)*C18+C202*C48*1000)/1000000</f>
        <v>26.326946225400427</v>
      </c>
      <c r="D208" s="19">
        <f t="shared" si="79"/>
        <v>0</v>
      </c>
      <c r="E208" s="19">
        <f t="shared" si="79"/>
        <v>106.0530714259051</v>
      </c>
      <c r="F208" s="19">
        <f t="shared" si="79"/>
        <v>8.9653087815037527</v>
      </c>
      <c r="G208" s="19">
        <f t="shared" si="79"/>
        <v>0</v>
      </c>
      <c r="H208" s="19">
        <f t="shared" si="79"/>
        <v>77.395499999999998</v>
      </c>
      <c r="I208" s="19">
        <f t="shared" si="79"/>
        <v>0</v>
      </c>
      <c r="J208" s="19">
        <f t="shared" si="79"/>
        <v>28.250109999999999</v>
      </c>
      <c r="K208" s="19">
        <f t="shared" si="79"/>
        <v>2.8852811774633862</v>
      </c>
      <c r="L208" s="19">
        <f t="shared" si="79"/>
        <v>0</v>
      </c>
      <c r="M208" s="19">
        <f t="shared" si="79"/>
        <v>0.18348491804620984</v>
      </c>
      <c r="N208" s="19">
        <f t="shared" si="79"/>
        <v>0</v>
      </c>
      <c r="O208" s="19">
        <f t="shared" si="79"/>
        <v>0</v>
      </c>
      <c r="P208" s="62"/>
      <c r="Q208" s="39">
        <f>G208+N208</f>
        <v>0</v>
      </c>
      <c r="R208" s="5">
        <f>SUM(K208:L208)</f>
        <v>2.8852811774633862</v>
      </c>
      <c r="T208" s="5">
        <f t="shared" si="78"/>
        <v>250.05970252831889</v>
      </c>
    </row>
    <row r="209" spans="1:25" ht="15" x14ac:dyDescent="0.25">
      <c r="A209" s="15">
        <f t="shared" si="76"/>
        <v>79.908748496545471</v>
      </c>
      <c r="B209" s="3">
        <v>2050</v>
      </c>
      <c r="C209" s="19">
        <f t="shared" ref="C209:O209" si="80">((C199+C195)*C19+C203*C49*1000)/1000000</f>
        <v>54.174731567888436</v>
      </c>
      <c r="D209" s="19">
        <f t="shared" si="80"/>
        <v>0</v>
      </c>
      <c r="E209" s="19">
        <f t="shared" si="80"/>
        <v>183.58222571277489</v>
      </c>
      <c r="F209" s="19">
        <f t="shared" si="80"/>
        <v>16.22056608085639</v>
      </c>
      <c r="G209" s="19">
        <f t="shared" si="80"/>
        <v>16.178562093862816</v>
      </c>
      <c r="H209" s="19">
        <f t="shared" si="80"/>
        <v>99.754199999999997</v>
      </c>
      <c r="I209" s="19">
        <f t="shared" si="80"/>
        <v>0</v>
      </c>
      <c r="J209" s="19">
        <f t="shared" si="80"/>
        <v>35.586179999999999</v>
      </c>
      <c r="K209" s="19">
        <f t="shared" si="80"/>
        <v>2.93880668708865</v>
      </c>
      <c r="L209" s="19">
        <f t="shared" si="80"/>
        <v>0</v>
      </c>
      <c r="M209" s="19">
        <f t="shared" si="80"/>
        <v>0.18286375575040134</v>
      </c>
      <c r="N209" s="19">
        <f t="shared" si="80"/>
        <v>0</v>
      </c>
      <c r="O209" s="19">
        <f t="shared" si="80"/>
        <v>0</v>
      </c>
      <c r="P209" s="62"/>
      <c r="Q209" s="39">
        <f>G209+N209</f>
        <v>16.178562093862816</v>
      </c>
      <c r="R209" s="5">
        <f>SUM(K209:L209)</f>
        <v>2.93880668708865</v>
      </c>
      <c r="T209" s="5">
        <f t="shared" si="78"/>
        <v>408.61813589822162</v>
      </c>
    </row>
    <row r="210" spans="1:25" ht="15" x14ac:dyDescent="0.25"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69"/>
    </row>
    <row r="211" spans="1:25" ht="60" x14ac:dyDescent="0.25">
      <c r="B211" s="43" t="s">
        <v>23</v>
      </c>
      <c r="C211" s="43" t="s">
        <v>0</v>
      </c>
      <c r="D211" s="43" t="s">
        <v>1</v>
      </c>
      <c r="E211" s="43" t="s">
        <v>28</v>
      </c>
      <c r="F211" s="2" t="s">
        <v>29</v>
      </c>
      <c r="G211" s="2" t="s">
        <v>6</v>
      </c>
      <c r="H211" s="43" t="s">
        <v>2</v>
      </c>
      <c r="I211" s="43" t="s">
        <v>3</v>
      </c>
      <c r="J211" s="43" t="s">
        <v>4</v>
      </c>
      <c r="K211" s="43" t="s">
        <v>9</v>
      </c>
      <c r="L211" s="43" t="s">
        <v>8</v>
      </c>
      <c r="M211" s="43" t="s">
        <v>25</v>
      </c>
      <c r="N211" s="43" t="s">
        <v>7</v>
      </c>
      <c r="O211" s="43" t="s">
        <v>89</v>
      </c>
      <c r="P211" s="25"/>
      <c r="Q211" s="43" t="s">
        <v>5</v>
      </c>
      <c r="R211" s="43" t="s">
        <v>91</v>
      </c>
      <c r="T211" s="43" t="s">
        <v>10</v>
      </c>
      <c r="U211" s="41" t="s">
        <v>86</v>
      </c>
      <c r="V211" s="43" t="s">
        <v>92</v>
      </c>
      <c r="W211" s="43" t="s">
        <v>93</v>
      </c>
      <c r="X211" s="25" t="s">
        <v>26</v>
      </c>
      <c r="Y211" s="25" t="s">
        <v>27</v>
      </c>
    </row>
    <row r="212" spans="1:25" ht="15" x14ac:dyDescent="0.25">
      <c r="B212" s="3">
        <v>2016</v>
      </c>
      <c r="C212" s="19">
        <f>C176+C186+C206</f>
        <v>99.425576517077502</v>
      </c>
      <c r="D212" s="19">
        <f t="shared" ref="D212:O215" si="81">D176+D186+D206</f>
        <v>3.0206166863931165</v>
      </c>
      <c r="E212" s="19">
        <f t="shared" si="81"/>
        <v>0.71827291818882821</v>
      </c>
      <c r="F212" s="19">
        <f t="shared" si="81"/>
        <v>5.6112431781664789</v>
      </c>
      <c r="G212" s="19">
        <f t="shared" si="81"/>
        <v>4.7397372806457199</v>
      </c>
      <c r="H212" s="19">
        <f t="shared" si="81"/>
        <v>3.7406611452973988</v>
      </c>
      <c r="I212" s="19">
        <f t="shared" si="81"/>
        <v>2.7313107545794142</v>
      </c>
      <c r="J212" s="19">
        <f t="shared" si="81"/>
        <v>4.4864465988215327</v>
      </c>
      <c r="K212" s="19">
        <f t="shared" si="81"/>
        <v>0</v>
      </c>
      <c r="L212" s="19">
        <f t="shared" si="81"/>
        <v>2.6131623050841757</v>
      </c>
      <c r="M212" s="19">
        <f t="shared" si="81"/>
        <v>0</v>
      </c>
      <c r="N212" s="19">
        <f t="shared" si="81"/>
        <v>0.46729964879989472</v>
      </c>
      <c r="O212" s="19">
        <f t="shared" si="81"/>
        <v>0</v>
      </c>
      <c r="P212" s="62"/>
      <c r="Q212" s="5">
        <f>G212+N212</f>
        <v>5.2070369294456142</v>
      </c>
      <c r="R212" s="5">
        <f>SUM(K212:L212)</f>
        <v>2.6131623050841757</v>
      </c>
      <c r="S212" s="5"/>
      <c r="T212" s="46">
        <f>SUM(C212:O212)</f>
        <v>127.55432703305404</v>
      </c>
      <c r="U212" s="39">
        <f>T212+T128*Inputs_Summary!F64/1000</f>
        <v>152.9417183439752</v>
      </c>
      <c r="V212" s="39">
        <f>T212+Inputs_Summary!$G$62*Inputs_Summary!G72/1000</f>
        <v>200.18042703305403</v>
      </c>
      <c r="W212" s="39">
        <f>V212+(U212-T212)</f>
        <v>225.5678183439752</v>
      </c>
      <c r="X212" s="75">
        <f>T212-'HC-BC'!T212</f>
        <v>-2.44606645697543</v>
      </c>
      <c r="Y212" s="76">
        <f>T212-'HC-CB'!T212</f>
        <v>0</v>
      </c>
    </row>
    <row r="213" spans="1:25" ht="15" x14ac:dyDescent="0.25">
      <c r="B213" s="3">
        <v>2030</v>
      </c>
      <c r="C213" s="19">
        <f>C177+C187+C207</f>
        <v>139.53674910850722</v>
      </c>
      <c r="D213" s="19">
        <f t="shared" si="81"/>
        <v>3.0042000751237827</v>
      </c>
      <c r="E213" s="19">
        <f t="shared" si="81"/>
        <v>35.76012947825884</v>
      </c>
      <c r="F213" s="19">
        <f t="shared" si="81"/>
        <v>8.2756898641027004</v>
      </c>
      <c r="G213" s="19">
        <f t="shared" si="81"/>
        <v>4.0148056218135606</v>
      </c>
      <c r="H213" s="19">
        <f t="shared" si="81"/>
        <v>38.31574504276437</v>
      </c>
      <c r="I213" s="19">
        <f t="shared" si="81"/>
        <v>12.433125483364078</v>
      </c>
      <c r="J213" s="19">
        <f t="shared" si="81"/>
        <v>18.516870678624237</v>
      </c>
      <c r="K213" s="19">
        <f t="shared" si="81"/>
        <v>3.1418775266918675</v>
      </c>
      <c r="L213" s="19">
        <f t="shared" si="81"/>
        <v>4.2588371463576307</v>
      </c>
      <c r="M213" s="19">
        <f t="shared" si="81"/>
        <v>9.5491040032667937E-2</v>
      </c>
      <c r="N213" s="19">
        <f t="shared" si="81"/>
        <v>3.7973183340341263</v>
      </c>
      <c r="O213" s="19">
        <f t="shared" si="81"/>
        <v>0</v>
      </c>
      <c r="P213" s="62"/>
      <c r="Q213" s="5">
        <f>G213+N213</f>
        <v>7.8121239558476869</v>
      </c>
      <c r="R213" s="5">
        <f>SUM(K213:L213)</f>
        <v>7.4007146730494977</v>
      </c>
      <c r="S213" s="5"/>
      <c r="T213" s="46">
        <f t="shared" ref="T213:T215" si="82">SUM(C213:O213)</f>
        <v>271.15083939967508</v>
      </c>
      <c r="U213" s="39">
        <f>T213+T129*Inputs_Summary!F65/1000</f>
        <v>296.88943112200917</v>
      </c>
      <c r="V213" s="39">
        <f>T213+Inputs_Summary!$G$62*Inputs_Summary!G73/1000</f>
        <v>374.20923939967508</v>
      </c>
      <c r="W213" s="39">
        <f t="shared" ref="W213:W215" si="83">V213+(U213-T213)</f>
        <v>399.94783112200918</v>
      </c>
      <c r="X213" s="75">
        <f>T213-'HC-BC'!T213</f>
        <v>-10.072392755453109</v>
      </c>
      <c r="Y213" s="76">
        <f>T213-'HC-CB'!T213</f>
        <v>-29.213490601907836</v>
      </c>
    </row>
    <row r="214" spans="1:25" ht="15" x14ac:dyDescent="0.25">
      <c r="B214" s="3">
        <v>2040</v>
      </c>
      <c r="C214" s="19">
        <f>C178+C188+C208</f>
        <v>125.10992480654608</v>
      </c>
      <c r="D214" s="19">
        <f t="shared" si="81"/>
        <v>3.0006749831577522</v>
      </c>
      <c r="E214" s="19">
        <f t="shared" si="81"/>
        <v>108.25210869420836</v>
      </c>
      <c r="F214" s="19">
        <f t="shared" si="81"/>
        <v>9.3380044431517408</v>
      </c>
      <c r="G214" s="19">
        <f t="shared" si="81"/>
        <v>4.1015220966796031</v>
      </c>
      <c r="H214" s="19">
        <f t="shared" si="81"/>
        <v>77.395499999999998</v>
      </c>
      <c r="I214" s="19">
        <f t="shared" si="81"/>
        <v>12.470825380744037</v>
      </c>
      <c r="J214" s="19">
        <f t="shared" si="81"/>
        <v>31.463278762169292</v>
      </c>
      <c r="K214" s="19">
        <f t="shared" si="81"/>
        <v>3.1774238479054127</v>
      </c>
      <c r="L214" s="19">
        <f t="shared" si="81"/>
        <v>4.4426628479263739</v>
      </c>
      <c r="M214" s="19">
        <f t="shared" si="81"/>
        <v>0.18348491804620984</v>
      </c>
      <c r="N214" s="19">
        <f t="shared" si="81"/>
        <v>3.7814542198291061</v>
      </c>
      <c r="O214" s="19">
        <f t="shared" si="81"/>
        <v>0</v>
      </c>
      <c r="P214" s="62"/>
      <c r="Q214" s="5">
        <f>G214+N214</f>
        <v>7.8829763165087092</v>
      </c>
      <c r="R214" s="5">
        <f>SUM(K214:L214)</f>
        <v>7.6200866958317865</v>
      </c>
      <c r="S214" s="5"/>
      <c r="T214" s="46">
        <f t="shared" si="82"/>
        <v>382.71686500036395</v>
      </c>
      <c r="U214" s="39">
        <f>T214+T130*Inputs_Summary!F66/1000</f>
        <v>402.64041069072823</v>
      </c>
      <c r="V214" s="39">
        <f>T214+Inputs_Summary!$G$62*Inputs_Summary!G74/1000</f>
        <v>511.24616500036393</v>
      </c>
      <c r="W214" s="39">
        <f t="shared" si="83"/>
        <v>531.16971069072815</v>
      </c>
      <c r="X214" s="75">
        <f>T214-'HC-BC'!T214</f>
        <v>-24.095017018629164</v>
      </c>
      <c r="Y214" s="76">
        <f>T214-'HC-CB'!T214</f>
        <v>-18.344691530421585</v>
      </c>
    </row>
    <row r="215" spans="1:25" ht="15" x14ac:dyDescent="0.25">
      <c r="B215" s="3">
        <v>2050</v>
      </c>
      <c r="C215" s="19">
        <f>C179+C189+C209</f>
        <v>134.0834800644339</v>
      </c>
      <c r="D215" s="19">
        <f t="shared" si="81"/>
        <v>0</v>
      </c>
      <c r="E215" s="19">
        <f t="shared" si="81"/>
        <v>185.90636309038504</v>
      </c>
      <c r="F215" s="19">
        <f t="shared" si="81"/>
        <v>16.22056608085639</v>
      </c>
      <c r="G215" s="19">
        <f t="shared" si="81"/>
        <v>20.267529596812967</v>
      </c>
      <c r="H215" s="19">
        <f t="shared" si="81"/>
        <v>99.754199999999997</v>
      </c>
      <c r="I215" s="19">
        <f t="shared" si="81"/>
        <v>0</v>
      </c>
      <c r="J215" s="19">
        <f t="shared" si="81"/>
        <v>35.586179999999999</v>
      </c>
      <c r="K215" s="19">
        <f t="shared" si="81"/>
        <v>2.93880668708865</v>
      </c>
      <c r="L215" s="19">
        <f t="shared" si="81"/>
        <v>2.9317835936408883</v>
      </c>
      <c r="M215" s="19">
        <f t="shared" si="81"/>
        <v>0.18286375575040134</v>
      </c>
      <c r="N215" s="19">
        <f t="shared" si="81"/>
        <v>3.7572253780153422</v>
      </c>
      <c r="O215" s="19">
        <f t="shared" si="81"/>
        <v>0</v>
      </c>
      <c r="P215" s="62"/>
      <c r="Q215" s="5">
        <f>G215+N215</f>
        <v>24.024754974828308</v>
      </c>
      <c r="R215" s="5">
        <f>SUM(K215:L215)</f>
        <v>5.8705902807295383</v>
      </c>
      <c r="S215" s="5"/>
      <c r="T215" s="46">
        <f t="shared" si="82"/>
        <v>501.62899824698349</v>
      </c>
      <c r="U215" s="39">
        <f>T215+T131*Inputs_Summary!F67/1000</f>
        <v>522.47322964322461</v>
      </c>
      <c r="V215" s="39">
        <f>T215+Inputs_Summary!$G$62*Inputs_Summary!G75/1000</f>
        <v>658.09669824698346</v>
      </c>
      <c r="W215" s="39">
        <f t="shared" si="83"/>
        <v>678.94092964322454</v>
      </c>
      <c r="X215" s="75">
        <f>T215-'HC-BC'!T215</f>
        <v>-41.549984310921502</v>
      </c>
      <c r="Y215" s="76">
        <f>T215-'HC-CB'!T215</f>
        <v>-30.205789757606851</v>
      </c>
    </row>
    <row r="216" spans="1:25" ht="15" x14ac:dyDescent="0.25">
      <c r="T216" s="104"/>
      <c r="U216" s="11"/>
    </row>
    <row r="217" spans="1:25" ht="15" x14ac:dyDescent="0.25">
      <c r="B217" s="3">
        <v>2016</v>
      </c>
      <c r="C217" s="21">
        <f t="shared" ref="C217:O220" si="84">IFERROR(C212/$T212,0)</f>
        <v>0.77947631279739071</v>
      </c>
      <c r="D217" s="21">
        <f t="shared" si="84"/>
        <v>2.3681020915976948E-2</v>
      </c>
      <c r="E217" s="21">
        <f t="shared" si="84"/>
        <v>5.6311136979515968E-3</v>
      </c>
      <c r="F217" s="21">
        <f t="shared" si="84"/>
        <v>4.3991006096660276E-2</v>
      </c>
      <c r="G217" s="21">
        <f t="shared" si="84"/>
        <v>3.7158576983574054E-2</v>
      </c>
      <c r="H217" s="21">
        <f t="shared" si="84"/>
        <v>2.9326023133092578E-2</v>
      </c>
      <c r="I217" s="21">
        <f t="shared" si="84"/>
        <v>2.1412921208636308E-2</v>
      </c>
      <c r="J217" s="21">
        <f t="shared" si="84"/>
        <v>3.5172829516468919E-2</v>
      </c>
      <c r="K217" s="21">
        <f t="shared" si="84"/>
        <v>0</v>
      </c>
      <c r="L217" s="21">
        <f t="shared" si="84"/>
        <v>2.0486661376897145E-2</v>
      </c>
      <c r="M217" s="21">
        <f t="shared" si="84"/>
        <v>0</v>
      </c>
      <c r="N217" s="21">
        <f t="shared" si="84"/>
        <v>3.6635342733516217E-3</v>
      </c>
      <c r="O217" s="21">
        <f t="shared" si="84"/>
        <v>0</v>
      </c>
      <c r="P217" s="29"/>
      <c r="Q217" s="7">
        <f t="shared" ref="Q217:R220" si="85">IFERROR(Q212/$T212,0)</f>
        <v>4.0822111256925676E-2</v>
      </c>
      <c r="R217" s="7">
        <f t="shared" si="85"/>
        <v>2.0486661376897145E-2</v>
      </c>
      <c r="T217" s="8">
        <f>SUM(C217:O217)</f>
        <v>1.0000000000000002</v>
      </c>
      <c r="U217" s="11"/>
    </row>
    <row r="218" spans="1:25" ht="15" x14ac:dyDescent="0.25">
      <c r="B218" s="3">
        <v>2030</v>
      </c>
      <c r="C218" s="21">
        <f t="shared" si="84"/>
        <v>0.5146093201018298</v>
      </c>
      <c r="D218" s="21">
        <f t="shared" si="84"/>
        <v>1.1079442283029799E-2</v>
      </c>
      <c r="E218" s="21">
        <f t="shared" si="84"/>
        <v>0.13188279098612185</v>
      </c>
      <c r="F218" s="21">
        <f t="shared" si="84"/>
        <v>3.0520613111229843E-2</v>
      </c>
      <c r="G218" s="21">
        <f t="shared" si="84"/>
        <v>1.4806539528707694E-2</v>
      </c>
      <c r="H218" s="21">
        <f t="shared" si="84"/>
        <v>0.14130786070068971</v>
      </c>
      <c r="I218" s="21">
        <f t="shared" si="84"/>
        <v>4.5853169810909963E-2</v>
      </c>
      <c r="J218" s="21">
        <f t="shared" si="84"/>
        <v>6.8289925709322463E-2</v>
      </c>
      <c r="K218" s="21">
        <f t="shared" si="84"/>
        <v>1.1587194543258465E-2</v>
      </c>
      <c r="L218" s="21">
        <f t="shared" si="84"/>
        <v>1.570652392515785E-2</v>
      </c>
      <c r="M218" s="21">
        <f t="shared" si="84"/>
        <v>3.5216944282409022E-4</v>
      </c>
      <c r="N218" s="21">
        <f t="shared" si="84"/>
        <v>1.4004449856918557E-2</v>
      </c>
      <c r="O218" s="21">
        <f t="shared" si="84"/>
        <v>0</v>
      </c>
      <c r="P218" s="29"/>
      <c r="Q218" s="7">
        <f t="shared" si="85"/>
        <v>2.8810989385626252E-2</v>
      </c>
      <c r="R218" s="7">
        <f t="shared" si="85"/>
        <v>2.7293718468416314E-2</v>
      </c>
      <c r="T218" s="8">
        <f t="shared" ref="T218:T220" si="86">SUM(C218:O218)</f>
        <v>1.0000000000000002</v>
      </c>
      <c r="U218" s="11"/>
    </row>
    <row r="219" spans="1:25" ht="15" x14ac:dyDescent="0.25">
      <c r="B219" s="3">
        <v>2040</v>
      </c>
      <c r="C219" s="21">
        <f t="shared" si="84"/>
        <v>0.32689942944225125</v>
      </c>
      <c r="D219" s="21">
        <f t="shared" si="84"/>
        <v>7.840456634057396E-3</v>
      </c>
      <c r="E219" s="21">
        <f t="shared" si="84"/>
        <v>0.28285168121374898</v>
      </c>
      <c r="F219" s="21">
        <f t="shared" si="84"/>
        <v>2.4399249934133057E-2</v>
      </c>
      <c r="G219" s="21">
        <f t="shared" si="84"/>
        <v>1.0716857478114279E-2</v>
      </c>
      <c r="H219" s="21">
        <f t="shared" si="84"/>
        <v>0.20222652064190166</v>
      </c>
      <c r="I219" s="21">
        <f t="shared" si="84"/>
        <v>3.258499042296497E-2</v>
      </c>
      <c r="J219" s="21">
        <f t="shared" si="84"/>
        <v>8.2210327371226175E-2</v>
      </c>
      <c r="K219" s="21">
        <f t="shared" si="84"/>
        <v>8.3022833287014694E-3</v>
      </c>
      <c r="L219" s="21">
        <f t="shared" si="84"/>
        <v>1.160822334788447E-2</v>
      </c>
      <c r="M219" s="21">
        <f t="shared" si="84"/>
        <v>4.7942731252785357E-4</v>
      </c>
      <c r="N219" s="21">
        <f t="shared" si="84"/>
        <v>9.8805528724884122E-3</v>
      </c>
      <c r="O219" s="21">
        <f t="shared" si="84"/>
        <v>0</v>
      </c>
      <c r="P219" s="29"/>
      <c r="Q219" s="7">
        <f t="shared" si="85"/>
        <v>2.0597410350602689E-2</v>
      </c>
      <c r="R219" s="7">
        <f t="shared" si="85"/>
        <v>1.9910506676585941E-2</v>
      </c>
      <c r="T219" s="8">
        <f t="shared" si="86"/>
        <v>0.99999999999999967</v>
      </c>
      <c r="U219" s="11"/>
    </row>
    <row r="220" spans="1:25" ht="15" x14ac:dyDescent="0.25">
      <c r="B220" s="3">
        <v>2050</v>
      </c>
      <c r="C220" s="21">
        <f t="shared" si="84"/>
        <v>0.26729611033853384</v>
      </c>
      <c r="D220" s="21">
        <f t="shared" si="84"/>
        <v>0</v>
      </c>
      <c r="E220" s="21">
        <f t="shared" si="84"/>
        <v>0.37060529542762133</v>
      </c>
      <c r="F220" s="21">
        <f t="shared" si="84"/>
        <v>3.2335782296361554E-2</v>
      </c>
      <c r="G220" s="21">
        <f t="shared" si="84"/>
        <v>4.0403424976707562E-2</v>
      </c>
      <c r="H220" s="21">
        <f t="shared" si="84"/>
        <v>0.19886051314538386</v>
      </c>
      <c r="I220" s="21">
        <f t="shared" si="84"/>
        <v>0</v>
      </c>
      <c r="J220" s="21">
        <f t="shared" si="84"/>
        <v>7.0941233709297419E-2</v>
      </c>
      <c r="K220" s="21">
        <f t="shared" si="84"/>
        <v>5.8585263159800236E-3</v>
      </c>
      <c r="L220" s="21">
        <f t="shared" si="84"/>
        <v>5.8445257429025005E-3</v>
      </c>
      <c r="M220" s="21">
        <f t="shared" si="84"/>
        <v>3.6453984197374099E-4</v>
      </c>
      <c r="N220" s="21">
        <f t="shared" si="84"/>
        <v>7.4900482052383741E-3</v>
      </c>
      <c r="O220" s="21">
        <f t="shared" si="84"/>
        <v>0</v>
      </c>
      <c r="P220" s="29"/>
      <c r="Q220" s="7">
        <f t="shared" si="85"/>
        <v>4.7893473181945936E-2</v>
      </c>
      <c r="R220" s="7">
        <f t="shared" si="85"/>
        <v>1.1703052058882524E-2</v>
      </c>
      <c r="T220" s="8">
        <f t="shared" si="86"/>
        <v>1.0000000000000002</v>
      </c>
    </row>
    <row r="222" spans="1:25" s="9" customFormat="1" ht="21" x14ac:dyDescent="0.35">
      <c r="B222" s="10" t="s">
        <v>51</v>
      </c>
    </row>
    <row r="223" spans="1:25" s="32" customFormat="1" ht="21" x14ac:dyDescent="0.35">
      <c r="B223" s="31"/>
      <c r="C223" s="40"/>
      <c r="D223" s="40"/>
      <c r="E223" s="40"/>
      <c r="P223" s="58"/>
    </row>
    <row r="224" spans="1:25" ht="30" x14ac:dyDescent="0.25">
      <c r="B224" s="43" t="s">
        <v>48</v>
      </c>
      <c r="C224" s="43" t="s">
        <v>0</v>
      </c>
      <c r="D224" s="43" t="s">
        <v>1</v>
      </c>
      <c r="E224" s="43" t="s">
        <v>28</v>
      </c>
      <c r="F224" s="2" t="s">
        <v>29</v>
      </c>
      <c r="G224" s="2" t="s">
        <v>6</v>
      </c>
      <c r="H224" s="43" t="s">
        <v>2</v>
      </c>
      <c r="I224" s="43" t="s">
        <v>3</v>
      </c>
      <c r="J224" s="43" t="s">
        <v>4</v>
      </c>
      <c r="K224" s="43" t="s">
        <v>9</v>
      </c>
      <c r="L224" s="43" t="s">
        <v>8</v>
      </c>
      <c r="M224" s="43" t="s">
        <v>25</v>
      </c>
      <c r="N224" s="43" t="s">
        <v>7</v>
      </c>
      <c r="O224" s="43" t="s">
        <v>89</v>
      </c>
      <c r="P224" s="25"/>
      <c r="Q224" s="43" t="s">
        <v>5</v>
      </c>
      <c r="R224" s="43" t="s">
        <v>91</v>
      </c>
      <c r="T224" s="42"/>
    </row>
    <row r="225" spans="2:20" ht="15" x14ac:dyDescent="0.25">
      <c r="B225" s="3">
        <v>2016</v>
      </c>
      <c r="C225" s="48">
        <f t="shared" ref="C225:O228" si="87">IFERROR(C176/C34*1000,"")</f>
        <v>0.48989471926362094</v>
      </c>
      <c r="D225" s="48">
        <f t="shared" si="87"/>
        <v>0.20487259277908632</v>
      </c>
      <c r="E225" s="48">
        <f t="shared" si="87"/>
        <v>0.95000000000000007</v>
      </c>
      <c r="F225" s="48">
        <f t="shared" si="87"/>
        <v>2.7719237674542714</v>
      </c>
      <c r="G225" s="48">
        <f t="shared" si="87"/>
        <v>0.30000000000000004</v>
      </c>
      <c r="H225" s="48">
        <f t="shared" si="87"/>
        <v>0.93</v>
      </c>
      <c r="I225" s="48">
        <f t="shared" si="87"/>
        <v>3.2999999999999994</v>
      </c>
      <c r="J225" s="48">
        <f t="shared" si="87"/>
        <v>1.6999999999999997</v>
      </c>
      <c r="K225" s="48" t="str">
        <f t="shared" si="87"/>
        <v/>
      </c>
      <c r="L225" s="48">
        <f t="shared" si="87"/>
        <v>1.6499999999999997</v>
      </c>
      <c r="M225" s="48" t="str">
        <f t="shared" si="87"/>
        <v/>
      </c>
      <c r="N225" s="48">
        <f t="shared" si="87"/>
        <v>0.15605822366857675</v>
      </c>
      <c r="O225" s="48" t="str">
        <f t="shared" si="87"/>
        <v/>
      </c>
      <c r="P225" s="53"/>
      <c r="T225" s="42" t="str">
        <f>IFERROR(T176/Inputs_Summary!#REF!*1000,"")</f>
        <v/>
      </c>
    </row>
    <row r="226" spans="2:20" ht="15" x14ac:dyDescent="0.25">
      <c r="B226" s="3">
        <v>2030</v>
      </c>
      <c r="C226" s="48">
        <f t="shared" si="87"/>
        <v>0.48131736571884648</v>
      </c>
      <c r="D226" s="48">
        <f t="shared" si="87"/>
        <v>0.20562246144110213</v>
      </c>
      <c r="E226" s="48">
        <f t="shared" si="87"/>
        <v>0.95</v>
      </c>
      <c r="F226" s="48">
        <f t="shared" si="87"/>
        <v>6.8755878410241653</v>
      </c>
      <c r="G226" s="48">
        <f t="shared" si="87"/>
        <v>0.3</v>
      </c>
      <c r="H226" s="48">
        <f t="shared" si="87"/>
        <v>0.93000000000000016</v>
      </c>
      <c r="I226" s="48">
        <f t="shared" si="87"/>
        <v>3.3</v>
      </c>
      <c r="J226" s="48">
        <f t="shared" si="87"/>
        <v>1.7000000000000002</v>
      </c>
      <c r="K226" s="48" t="str">
        <f t="shared" si="87"/>
        <v/>
      </c>
      <c r="L226" s="48">
        <f t="shared" si="87"/>
        <v>1.65</v>
      </c>
      <c r="M226" s="48" t="str">
        <f t="shared" si="87"/>
        <v/>
      </c>
      <c r="N226" s="48">
        <f t="shared" si="87"/>
        <v>0.19381403021371557</v>
      </c>
      <c r="O226" s="48" t="str">
        <f t="shared" si="87"/>
        <v/>
      </c>
      <c r="P226" s="53"/>
      <c r="T226" s="42">
        <f>IFERROR(T177/T35*1000,"")</f>
        <v>0.50536802029889416</v>
      </c>
    </row>
    <row r="227" spans="2:20" ht="15" x14ac:dyDescent="0.25">
      <c r="B227" s="3">
        <v>2040</v>
      </c>
      <c r="C227" s="48">
        <f t="shared" si="87"/>
        <v>0.48700903936947898</v>
      </c>
      <c r="D227" s="48">
        <f t="shared" si="87"/>
        <v>0.20578527074666197</v>
      </c>
      <c r="E227" s="48">
        <f t="shared" si="87"/>
        <v>0.95</v>
      </c>
      <c r="F227" s="48">
        <f t="shared" si="87"/>
        <v>4.4181148033723634</v>
      </c>
      <c r="G227" s="48">
        <f t="shared" si="87"/>
        <v>0.3</v>
      </c>
      <c r="H227" s="48" t="str">
        <f t="shared" si="87"/>
        <v/>
      </c>
      <c r="I227" s="48">
        <f t="shared" si="87"/>
        <v>3.2999999999999994</v>
      </c>
      <c r="J227" s="48">
        <f t="shared" si="87"/>
        <v>1.7000000000000002</v>
      </c>
      <c r="K227" s="48" t="str">
        <f t="shared" si="87"/>
        <v/>
      </c>
      <c r="L227" s="48">
        <f t="shared" si="87"/>
        <v>1.65</v>
      </c>
      <c r="M227" s="48" t="str">
        <f t="shared" si="87"/>
        <v/>
      </c>
      <c r="N227" s="48">
        <f t="shared" si="87"/>
        <v>0.21794410709986384</v>
      </c>
      <c r="O227" s="48" t="str">
        <f t="shared" si="87"/>
        <v/>
      </c>
      <c r="P227" s="53"/>
      <c r="T227" s="42">
        <f>IFERROR(T178/T36*1000,"")</f>
        <v>0.48274722991257291</v>
      </c>
    </row>
    <row r="228" spans="2:20" ht="15" x14ac:dyDescent="0.25">
      <c r="B228" s="3">
        <v>2050</v>
      </c>
      <c r="C228" s="48" t="str">
        <f t="shared" si="87"/>
        <v/>
      </c>
      <c r="D228" s="48" t="str">
        <f t="shared" si="87"/>
        <v/>
      </c>
      <c r="E228" s="48">
        <f t="shared" si="87"/>
        <v>0.95000000000000007</v>
      </c>
      <c r="F228" s="48" t="str">
        <f t="shared" si="87"/>
        <v/>
      </c>
      <c r="G228" s="48">
        <f t="shared" si="87"/>
        <v>0.3</v>
      </c>
      <c r="H228" s="48" t="str">
        <f t="shared" si="87"/>
        <v/>
      </c>
      <c r="I228" s="48" t="str">
        <f t="shared" si="87"/>
        <v/>
      </c>
      <c r="J228" s="48" t="str">
        <f t="shared" si="87"/>
        <v/>
      </c>
      <c r="K228" s="48" t="str">
        <f t="shared" si="87"/>
        <v/>
      </c>
      <c r="L228" s="48">
        <f t="shared" si="87"/>
        <v>1.6499999999999997</v>
      </c>
      <c r="M228" s="48" t="str">
        <f t="shared" si="87"/>
        <v/>
      </c>
      <c r="N228" s="48">
        <f t="shared" si="87"/>
        <v>0.27580906616734935</v>
      </c>
      <c r="O228" s="48" t="str">
        <f t="shared" si="87"/>
        <v/>
      </c>
      <c r="P228" s="53"/>
      <c r="T228" s="42">
        <f>IFERROR(T179/T37*1000,"")</f>
        <v>0.55768130716784547</v>
      </c>
    </row>
    <row r="229" spans="2:20" x14ac:dyDescent="0.3">
      <c r="B229" s="41"/>
    </row>
    <row r="230" spans="2:20" ht="28.8" x14ac:dyDescent="0.3">
      <c r="B230" s="43" t="s">
        <v>47</v>
      </c>
    </row>
    <row r="231" spans="2:20" x14ac:dyDescent="0.3">
      <c r="B231" s="3">
        <v>2016</v>
      </c>
      <c r="C231" s="48" t="str">
        <f t="shared" ref="C231:O234" si="88">IFERROR(C186/C40*1000,"")</f>
        <v/>
      </c>
      <c r="D231" s="48" t="str">
        <f t="shared" si="88"/>
        <v/>
      </c>
      <c r="E231" s="48" t="str">
        <f t="shared" si="88"/>
        <v/>
      </c>
      <c r="F231" s="48" t="str">
        <f t="shared" si="88"/>
        <v/>
      </c>
      <c r="G231" s="48" t="str">
        <f t="shared" si="88"/>
        <v/>
      </c>
      <c r="H231" s="48" t="str">
        <f t="shared" si="88"/>
        <v/>
      </c>
      <c r="I231" s="48" t="str">
        <f t="shared" si="88"/>
        <v/>
      </c>
      <c r="J231" s="48" t="str">
        <f t="shared" si="88"/>
        <v/>
      </c>
      <c r="K231" s="48" t="str">
        <f t="shared" si="88"/>
        <v/>
      </c>
      <c r="L231" s="48" t="str">
        <f t="shared" si="88"/>
        <v/>
      </c>
      <c r="M231" s="48" t="str">
        <f t="shared" si="88"/>
        <v/>
      </c>
      <c r="N231" s="48" t="str">
        <f t="shared" si="88"/>
        <v/>
      </c>
      <c r="O231" s="48" t="str">
        <f t="shared" si="88"/>
        <v/>
      </c>
      <c r="P231" s="53"/>
      <c r="T231" s="42" t="str">
        <f>IFERROR(T186/Inputs_Summary!#REF!*1000,"")</f>
        <v/>
      </c>
    </row>
    <row r="232" spans="2:20" x14ac:dyDescent="0.3">
      <c r="B232" s="3">
        <v>2030</v>
      </c>
      <c r="C232" s="48">
        <f t="shared" si="88"/>
        <v>1.1424779135557095</v>
      </c>
      <c r="D232" s="48" t="str">
        <f t="shared" si="88"/>
        <v/>
      </c>
      <c r="E232" s="48" t="str">
        <f t="shared" si="88"/>
        <v/>
      </c>
      <c r="F232" s="48" t="str">
        <f t="shared" si="88"/>
        <v/>
      </c>
      <c r="G232" s="48">
        <f t="shared" si="88"/>
        <v>1.24</v>
      </c>
      <c r="H232" s="48">
        <f t="shared" si="88"/>
        <v>0.70507456548359604</v>
      </c>
      <c r="I232" s="48">
        <f t="shared" si="88"/>
        <v>2.2907692307692313</v>
      </c>
      <c r="J232" s="48">
        <f t="shared" si="88"/>
        <v>0.79657730380457292</v>
      </c>
      <c r="K232" s="48">
        <f t="shared" si="88"/>
        <v>1.5697614318948394</v>
      </c>
      <c r="L232" s="48">
        <f t="shared" si="88"/>
        <v>1.6099999999999999</v>
      </c>
      <c r="M232" s="48" t="str">
        <f t="shared" si="88"/>
        <v/>
      </c>
      <c r="N232" s="48">
        <f t="shared" si="88"/>
        <v>1.1856808172100852</v>
      </c>
      <c r="O232" s="48" t="str">
        <f t="shared" si="88"/>
        <v/>
      </c>
      <c r="P232" s="53"/>
      <c r="T232" s="42" t="str">
        <f>IFERROR(T187/Inputs_Summary!#REF!*1000,"")</f>
        <v/>
      </c>
    </row>
    <row r="233" spans="2:20" x14ac:dyDescent="0.3">
      <c r="B233" s="3">
        <v>2040</v>
      </c>
      <c r="C233" s="52">
        <f t="shared" si="88"/>
        <v>1.1042306973762708</v>
      </c>
      <c r="D233" s="52" t="str">
        <f t="shared" si="88"/>
        <v/>
      </c>
      <c r="E233" s="52" t="str">
        <f t="shared" si="88"/>
        <v/>
      </c>
      <c r="F233" s="52" t="str">
        <f t="shared" si="88"/>
        <v/>
      </c>
      <c r="G233" s="52">
        <f t="shared" si="88"/>
        <v>1.2400000000000002</v>
      </c>
      <c r="H233" s="52" t="str">
        <f t="shared" si="88"/>
        <v/>
      </c>
      <c r="I233" s="52">
        <f t="shared" si="88"/>
        <v>2.2907692307692309</v>
      </c>
      <c r="J233" s="52">
        <f t="shared" si="88"/>
        <v>0.79657730380457292</v>
      </c>
      <c r="K233" s="52">
        <f t="shared" si="88"/>
        <v>1.5072997639554018</v>
      </c>
      <c r="L233" s="52">
        <f t="shared" si="88"/>
        <v>1.6099999999999999</v>
      </c>
      <c r="M233" s="52" t="str">
        <f t="shared" si="88"/>
        <v/>
      </c>
      <c r="N233" s="52">
        <f t="shared" si="88"/>
        <v>1.3841151497300637</v>
      </c>
      <c r="O233" s="52" t="str">
        <f t="shared" si="88"/>
        <v/>
      </c>
      <c r="P233" s="53"/>
      <c r="T233" s="42" t="str">
        <f>IFERROR(T188/Inputs_Summary!#REF!*1000,"")</f>
        <v/>
      </c>
    </row>
    <row r="234" spans="2:20" x14ac:dyDescent="0.3">
      <c r="B234" s="3">
        <v>2050</v>
      </c>
      <c r="C234" s="55">
        <f t="shared" si="88"/>
        <v>1.0833374241631486</v>
      </c>
      <c r="D234" s="55" t="str">
        <f t="shared" si="88"/>
        <v/>
      </c>
      <c r="E234" s="55" t="str">
        <f t="shared" si="88"/>
        <v/>
      </c>
      <c r="F234" s="55" t="str">
        <f t="shared" si="88"/>
        <v/>
      </c>
      <c r="G234" s="55">
        <f t="shared" si="88"/>
        <v>1.24</v>
      </c>
      <c r="H234" s="55" t="str">
        <f t="shared" si="88"/>
        <v/>
      </c>
      <c r="I234" s="55" t="str">
        <f t="shared" si="88"/>
        <v/>
      </c>
      <c r="J234" s="55" t="str">
        <f t="shared" si="88"/>
        <v/>
      </c>
      <c r="K234" s="55" t="str">
        <f t="shared" si="88"/>
        <v/>
      </c>
      <c r="L234" s="55" t="str">
        <f t="shared" si="88"/>
        <v/>
      </c>
      <c r="M234" s="55" t="str">
        <f t="shared" si="88"/>
        <v/>
      </c>
      <c r="N234" s="55">
        <f t="shared" si="88"/>
        <v>1.4130804148023564</v>
      </c>
      <c r="O234" s="55" t="str">
        <f t="shared" si="88"/>
        <v/>
      </c>
      <c r="P234" s="53"/>
      <c r="T234" s="42" t="str">
        <f>IFERROR(T189/Inputs_Summary!#REF!*1000,"")</f>
        <v/>
      </c>
    </row>
    <row r="235" spans="2:20" s="11" customFormat="1" x14ac:dyDescent="0.3"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T235" s="54"/>
    </row>
    <row r="236" spans="2:20" ht="28.8" x14ac:dyDescent="0.3">
      <c r="B236" s="43" t="s">
        <v>49</v>
      </c>
      <c r="T236" s="42"/>
    </row>
    <row r="237" spans="2:20" x14ac:dyDescent="0.3">
      <c r="B237" s="3">
        <v>2016</v>
      </c>
      <c r="C237" s="48" t="str">
        <f t="shared" ref="C237:O240" si="89">IFERROR(C206/C46*1000,"")</f>
        <v/>
      </c>
      <c r="D237" s="48" t="str">
        <f t="shared" si="89"/>
        <v/>
      </c>
      <c r="E237" s="48" t="str">
        <f t="shared" si="89"/>
        <v/>
      </c>
      <c r="F237" s="48" t="str">
        <f t="shared" si="89"/>
        <v/>
      </c>
      <c r="G237" s="48" t="str">
        <f t="shared" si="89"/>
        <v/>
      </c>
      <c r="H237" s="48" t="str">
        <f t="shared" si="89"/>
        <v/>
      </c>
      <c r="I237" s="48" t="str">
        <f t="shared" si="89"/>
        <v/>
      </c>
      <c r="J237" s="48" t="str">
        <f t="shared" si="89"/>
        <v/>
      </c>
      <c r="K237" s="48" t="str">
        <f t="shared" si="89"/>
        <v/>
      </c>
      <c r="L237" s="48" t="str">
        <f t="shared" si="89"/>
        <v/>
      </c>
      <c r="M237" s="48" t="str">
        <f t="shared" si="89"/>
        <v/>
      </c>
      <c r="N237" s="48" t="str">
        <f t="shared" si="89"/>
        <v/>
      </c>
      <c r="O237" s="48" t="str">
        <f t="shared" si="89"/>
        <v/>
      </c>
      <c r="P237" s="53"/>
      <c r="T237" s="42" t="str">
        <f>IFERROR(T206/Inputs_Summary!#REF!*1000,"")</f>
        <v/>
      </c>
    </row>
    <row r="238" spans="2:20" x14ac:dyDescent="0.3">
      <c r="B238" s="3">
        <v>2030</v>
      </c>
      <c r="C238" s="48" t="str">
        <f t="shared" si="89"/>
        <v/>
      </c>
      <c r="D238" s="48" t="str">
        <f t="shared" si="89"/>
        <v/>
      </c>
      <c r="E238" s="48">
        <f t="shared" si="89"/>
        <v>1.6751358235188869</v>
      </c>
      <c r="F238" s="48">
        <f t="shared" si="89"/>
        <v>8.9747823382474436</v>
      </c>
      <c r="G238" s="48" t="str">
        <f t="shared" si="89"/>
        <v/>
      </c>
      <c r="H238" s="48">
        <f t="shared" si="89"/>
        <v>0.5960282761763267</v>
      </c>
      <c r="I238" s="48" t="str">
        <f t="shared" si="89"/>
        <v/>
      </c>
      <c r="J238" s="48">
        <f t="shared" si="89"/>
        <v>0.54512165296592352</v>
      </c>
      <c r="K238" s="48">
        <f t="shared" si="89"/>
        <v>1.6477708567831058</v>
      </c>
      <c r="L238" s="48" t="str">
        <f t="shared" si="89"/>
        <v/>
      </c>
      <c r="M238" s="48">
        <f t="shared" si="89"/>
        <v>1.51</v>
      </c>
      <c r="N238" s="48" t="str">
        <f t="shared" si="89"/>
        <v/>
      </c>
      <c r="O238" s="48" t="str">
        <f t="shared" si="89"/>
        <v/>
      </c>
      <c r="P238" s="53"/>
      <c r="T238" s="42" t="str">
        <f>IFERROR(T207/Inputs_Summary!#REF!*1000,"")</f>
        <v/>
      </c>
    </row>
    <row r="239" spans="2:20" x14ac:dyDescent="0.3">
      <c r="B239" s="3">
        <v>2040</v>
      </c>
      <c r="C239" s="48">
        <f t="shared" si="89"/>
        <v>1.0008688865340245</v>
      </c>
      <c r="D239" s="48" t="str">
        <f t="shared" si="89"/>
        <v/>
      </c>
      <c r="E239" s="48">
        <f t="shared" si="89"/>
        <v>1.5864970166080965</v>
      </c>
      <c r="F239" s="48">
        <f t="shared" si="89"/>
        <v>11.076234851595894</v>
      </c>
      <c r="G239" s="48" t="str">
        <f t="shared" si="89"/>
        <v/>
      </c>
      <c r="H239" s="48">
        <f t="shared" si="89"/>
        <v>0.6200511124679019</v>
      </c>
      <c r="I239" s="48" t="str">
        <f t="shared" si="89"/>
        <v/>
      </c>
      <c r="J239" s="48">
        <f t="shared" si="89"/>
        <v>0.51039263293993631</v>
      </c>
      <c r="K239" s="48">
        <f t="shared" si="89"/>
        <v>1.6445882496283908</v>
      </c>
      <c r="L239" s="48" t="str">
        <f t="shared" si="89"/>
        <v/>
      </c>
      <c r="M239" s="48">
        <f t="shared" si="89"/>
        <v>1.5099999999999998</v>
      </c>
      <c r="N239" s="48" t="str">
        <f t="shared" si="89"/>
        <v/>
      </c>
      <c r="O239" s="48" t="str">
        <f t="shared" si="89"/>
        <v/>
      </c>
      <c r="P239" s="53"/>
      <c r="T239" s="42" t="str">
        <f>IFERROR(T208/Inputs_Summary!#REF!*1000,"")</f>
        <v/>
      </c>
    </row>
    <row r="240" spans="2:20" x14ac:dyDescent="0.3">
      <c r="B240" s="3">
        <v>2050</v>
      </c>
      <c r="C240" s="48">
        <f t="shared" si="89"/>
        <v>0.95356159388540918</v>
      </c>
      <c r="D240" s="48" t="str">
        <f t="shared" si="89"/>
        <v/>
      </c>
      <c r="E240" s="48">
        <f t="shared" si="89"/>
        <v>1.4845941166808605</v>
      </c>
      <c r="F240" s="48">
        <f t="shared" si="89"/>
        <v>12.610003468088369</v>
      </c>
      <c r="G240" s="48">
        <f t="shared" si="89"/>
        <v>1.0449434344373549</v>
      </c>
      <c r="H240" s="48">
        <f t="shared" si="89"/>
        <v>0.62403555636241403</v>
      </c>
      <c r="I240" s="48" t="str">
        <f t="shared" si="89"/>
        <v/>
      </c>
      <c r="J240" s="48">
        <f t="shared" si="89"/>
        <v>0.48178657816681397</v>
      </c>
      <c r="K240" s="48">
        <f t="shared" si="89"/>
        <v>1.6398643961940245</v>
      </c>
      <c r="L240" s="48" t="str">
        <f t="shared" si="89"/>
        <v/>
      </c>
      <c r="M240" s="48">
        <f t="shared" si="89"/>
        <v>1.5099999999999998</v>
      </c>
      <c r="N240" s="48" t="str">
        <f t="shared" si="89"/>
        <v/>
      </c>
      <c r="O240" s="48" t="str">
        <f t="shared" si="89"/>
        <v/>
      </c>
      <c r="P240" s="53"/>
      <c r="T240" s="42" t="str">
        <f>IFERROR(T209/Inputs_Summary!#REF!*1000,"")</f>
        <v/>
      </c>
    </row>
    <row r="241" spans="2:25" x14ac:dyDescent="0.3">
      <c r="B241" s="41"/>
    </row>
    <row r="242" spans="2:25" ht="28.8" x14ac:dyDescent="0.3">
      <c r="B242" s="43" t="s">
        <v>50</v>
      </c>
      <c r="T242" s="43" t="s">
        <v>75</v>
      </c>
      <c r="U242" s="43" t="s">
        <v>73</v>
      </c>
      <c r="V242" s="43" t="s">
        <v>74</v>
      </c>
    </row>
    <row r="243" spans="2:25" x14ac:dyDescent="0.3">
      <c r="B243" s="3">
        <v>2016</v>
      </c>
      <c r="C243" s="48">
        <f t="shared" ref="C243:O246" si="90">IFERROR(C212/C52*1000,"")</f>
        <v>0.51037516938143923</v>
      </c>
      <c r="D243" s="48">
        <f t="shared" si="90"/>
        <v>0.20487259277908632</v>
      </c>
      <c r="E243" s="48">
        <f t="shared" si="90"/>
        <v>0.95000000000000007</v>
      </c>
      <c r="F243" s="48">
        <f t="shared" si="90"/>
        <v>2.7719237674542714</v>
      </c>
      <c r="G243" s="48">
        <f t="shared" si="90"/>
        <v>0.30000000000000004</v>
      </c>
      <c r="H243" s="48">
        <f t="shared" si="90"/>
        <v>0.93</v>
      </c>
      <c r="I243" s="48">
        <f t="shared" si="90"/>
        <v>3.2999999999999994</v>
      </c>
      <c r="J243" s="48">
        <f t="shared" si="90"/>
        <v>1.6999999999999997</v>
      </c>
      <c r="K243" s="48" t="str">
        <f t="shared" si="90"/>
        <v/>
      </c>
      <c r="L243" s="48">
        <f t="shared" si="90"/>
        <v>1.6499999999999997</v>
      </c>
      <c r="M243" s="48" t="str">
        <f t="shared" si="90"/>
        <v/>
      </c>
      <c r="N243" s="48">
        <f t="shared" si="90"/>
        <v>0.15605822366857675</v>
      </c>
      <c r="O243" s="48" t="str">
        <f t="shared" si="90"/>
        <v/>
      </c>
      <c r="P243" s="53"/>
      <c r="T243" s="47">
        <f>IFERROR(T212/Inputs_Summary!E72*1000,"")</f>
        <v>0.52689457522731098</v>
      </c>
      <c r="U243" s="42">
        <f>T243+Inputs_Summary!$E$62</f>
        <v>0.82689457522731091</v>
      </c>
      <c r="V243" s="42">
        <f>U243+Inputs_Summary!E64*T128/T52</f>
        <v>0.93258760396588514</v>
      </c>
    </row>
    <row r="244" spans="2:25" x14ac:dyDescent="0.3">
      <c r="B244" s="3">
        <v>2030</v>
      </c>
      <c r="C244" s="48">
        <f t="shared" si="90"/>
        <v>0.7075976430072155</v>
      </c>
      <c r="D244" s="48">
        <f t="shared" si="90"/>
        <v>0.20562246144110213</v>
      </c>
      <c r="E244" s="48">
        <f t="shared" si="90"/>
        <v>1.6028642514770466</v>
      </c>
      <c r="F244" s="48">
        <f t="shared" si="90"/>
        <v>8.724233317611116</v>
      </c>
      <c r="G244" s="48">
        <f t="shared" si="90"/>
        <v>0.31433796518128099</v>
      </c>
      <c r="H244" s="48">
        <f t="shared" si="90"/>
        <v>0.63545616021216811</v>
      </c>
      <c r="I244" s="48">
        <f t="shared" si="90"/>
        <v>2.4580585415794132</v>
      </c>
      <c r="J244" s="48">
        <f t="shared" si="90"/>
        <v>0.67776939803087766</v>
      </c>
      <c r="K244" s="48">
        <f t="shared" si="90"/>
        <v>1.6402108379707181</v>
      </c>
      <c r="L244" s="48">
        <f t="shared" si="90"/>
        <v>1.6342035225048925</v>
      </c>
      <c r="M244" s="48">
        <f t="shared" si="90"/>
        <v>1.51</v>
      </c>
      <c r="N244" s="48">
        <f t="shared" si="90"/>
        <v>0.75195195559684735</v>
      </c>
      <c r="O244" s="48" t="str">
        <f t="shared" si="90"/>
        <v/>
      </c>
      <c r="P244" s="53"/>
      <c r="T244" s="47">
        <f>IFERROR(T213/Inputs_Summary!E73*1000,"")</f>
        <v>0.78931219405601605</v>
      </c>
      <c r="U244" s="42">
        <f>T244+Inputs_Summary!$E$62</f>
        <v>1.089312194056016</v>
      </c>
      <c r="V244" s="42">
        <f>U244+Inputs_Summary!E65*T129/T53</f>
        <v>1.1628197819426305</v>
      </c>
    </row>
    <row r="245" spans="2:25" x14ac:dyDescent="0.3">
      <c r="B245" s="3">
        <v>2040</v>
      </c>
      <c r="C245" s="48">
        <f t="shared" si="90"/>
        <v>0.89878540548145369</v>
      </c>
      <c r="D245" s="48">
        <f t="shared" si="90"/>
        <v>0.20578527074666197</v>
      </c>
      <c r="E245" s="48">
        <f t="shared" si="90"/>
        <v>1.5651941906565696</v>
      </c>
      <c r="F245" s="48">
        <f t="shared" si="90"/>
        <v>10.447828015583784</v>
      </c>
      <c r="G245" s="48">
        <f t="shared" si="90"/>
        <v>0.31409674690456046</v>
      </c>
      <c r="H245" s="48">
        <f t="shared" si="90"/>
        <v>0.6200511124679019</v>
      </c>
      <c r="I245" s="48">
        <f t="shared" si="90"/>
        <v>2.4590409748667175</v>
      </c>
      <c r="J245" s="48">
        <f t="shared" si="90"/>
        <v>0.53780552793228076</v>
      </c>
      <c r="K245" s="48">
        <f t="shared" si="90"/>
        <v>1.6309301683217481</v>
      </c>
      <c r="L245" s="48">
        <f t="shared" si="90"/>
        <v>1.6348484848484848</v>
      </c>
      <c r="M245" s="48">
        <f t="shared" si="90"/>
        <v>1.5099999999999998</v>
      </c>
      <c r="N245" s="48">
        <f t="shared" si="90"/>
        <v>0.87427069343271824</v>
      </c>
      <c r="O245" s="48" t="str">
        <f t="shared" si="90"/>
        <v/>
      </c>
      <c r="P245" s="53"/>
      <c r="T245" s="47">
        <f>IFERROR(T214/Inputs_Summary!E74*1000,"")</f>
        <v>0.89329872254893772</v>
      </c>
      <c r="U245" s="42">
        <f>T245+Inputs_Summary!$E$62</f>
        <v>1.1932987225489378</v>
      </c>
      <c r="V245" s="42">
        <f>U245+Inputs_Summary!E66*T130/T54</f>
        <v>1.2391629610213082</v>
      </c>
    </row>
    <row r="246" spans="2:25" x14ac:dyDescent="0.3">
      <c r="B246" s="3">
        <v>2050</v>
      </c>
      <c r="C246" s="48">
        <f t="shared" si="90"/>
        <v>1.0327270315942401</v>
      </c>
      <c r="D246" s="48" t="str">
        <f t="shared" si="90"/>
        <v/>
      </c>
      <c r="E246" s="48">
        <f t="shared" si="90"/>
        <v>1.4742228631179568</v>
      </c>
      <c r="F246" s="48">
        <f t="shared" si="90"/>
        <v>12.610003468088369</v>
      </c>
      <c r="G246" s="48">
        <f t="shared" si="90"/>
        <v>0.71097277636476941</v>
      </c>
      <c r="H246" s="48">
        <f t="shared" si="90"/>
        <v>0.62403555636241403</v>
      </c>
      <c r="I246" s="48" t="str">
        <f t="shared" si="90"/>
        <v/>
      </c>
      <c r="J246" s="48">
        <f t="shared" si="90"/>
        <v>0.48178657816681397</v>
      </c>
      <c r="K246" s="48">
        <f t="shared" si="90"/>
        <v>1.6398643961940245</v>
      </c>
      <c r="L246" s="48">
        <f t="shared" si="90"/>
        <v>1.6499999999999997</v>
      </c>
      <c r="M246" s="48">
        <f t="shared" si="90"/>
        <v>1.5099999999999998</v>
      </c>
      <c r="N246" s="48">
        <f t="shared" si="90"/>
        <v>0.99114511176515374</v>
      </c>
      <c r="O246" s="48" t="str">
        <f t="shared" si="90"/>
        <v/>
      </c>
      <c r="P246" s="53"/>
      <c r="T246" s="47">
        <f>IFERROR(T215/Inputs_Summary!E75*1000,"")</f>
        <v>0.96178763715511284</v>
      </c>
      <c r="U246" s="42">
        <f>T246+Inputs_Summary!$E$62</f>
        <v>1.2617876371551129</v>
      </c>
      <c r="V246" s="42">
        <f>U246+Inputs_Summary!E67*T131/T55</f>
        <v>1.3013455649040437</v>
      </c>
    </row>
    <row r="248" spans="2:25" s="9" customFormat="1" ht="21" x14ac:dyDescent="0.4">
      <c r="B248" s="10" t="s">
        <v>131</v>
      </c>
      <c r="Y248" s="86"/>
    </row>
    <row r="249" spans="2:25" x14ac:dyDescent="0.3">
      <c r="Y249" s="12"/>
    </row>
    <row r="250" spans="2:25" ht="28.8" x14ac:dyDescent="0.3">
      <c r="B250" s="43" t="s">
        <v>124</v>
      </c>
      <c r="C250" s="43" t="s">
        <v>0</v>
      </c>
      <c r="D250" s="43" t="s">
        <v>1</v>
      </c>
      <c r="E250" s="43" t="s">
        <v>28</v>
      </c>
      <c r="F250" s="2" t="s">
        <v>29</v>
      </c>
      <c r="G250" s="2" t="s">
        <v>6</v>
      </c>
      <c r="H250" s="43" t="s">
        <v>2</v>
      </c>
      <c r="I250" s="43" t="s">
        <v>3</v>
      </c>
      <c r="J250" s="43" t="s">
        <v>4</v>
      </c>
      <c r="K250" s="43" t="s">
        <v>9</v>
      </c>
      <c r="L250" s="43" t="s">
        <v>8</v>
      </c>
      <c r="M250" s="43" t="s">
        <v>25</v>
      </c>
      <c r="N250" s="43" t="s">
        <v>7</v>
      </c>
      <c r="O250" s="43" t="s">
        <v>89</v>
      </c>
      <c r="P250" s="25"/>
      <c r="Q250" s="43" t="s">
        <v>5</v>
      </c>
      <c r="R250" s="43" t="s">
        <v>91</v>
      </c>
      <c r="T250" s="43" t="s">
        <v>10</v>
      </c>
      <c r="Y250" s="12"/>
    </row>
    <row r="251" spans="2:25" x14ac:dyDescent="0.3">
      <c r="B251" s="3">
        <v>2016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3"/>
      <c r="Q251" s="5">
        <f>G251+N251</f>
        <v>0</v>
      </c>
      <c r="R251" s="5">
        <f>SUM(K251:L251)</f>
        <v>0</v>
      </c>
      <c r="T251" s="5">
        <f>SUM(C251:O251)</f>
        <v>0</v>
      </c>
      <c r="Y251" s="12"/>
    </row>
    <row r="252" spans="2:25" x14ac:dyDescent="0.3">
      <c r="B252" s="3">
        <v>2030</v>
      </c>
      <c r="C252" s="50">
        <f>Inputs_Summary!E$53*((C11+C17))/14/1000</f>
        <v>17416.822857142859</v>
      </c>
      <c r="D252" s="50">
        <f>Inputs_Summary!F$53*((D11+D17))/14/1000</f>
        <v>0</v>
      </c>
      <c r="E252" s="50">
        <f>Inputs_Summary!G$53*((E11+E17))/14/1000</f>
        <v>3425.76</v>
      </c>
      <c r="F252" s="50">
        <f>Inputs_Summary!H$53*((F11+F17))/14/1000</f>
        <v>2118.0342857142859</v>
      </c>
      <c r="G252" s="50">
        <f>Inputs_Summary!I$53*((G11+G17))/14/1000</f>
        <v>0</v>
      </c>
      <c r="H252" s="50">
        <f>Inputs_Summary!J$53*((H11+H17))/14/1000</f>
        <v>8000</v>
      </c>
      <c r="I252" s="50">
        <f>Inputs_Summary!K$53*((I11+I17))/14/1000</f>
        <v>1578.5714285714287</v>
      </c>
      <c r="J252" s="50">
        <f>Inputs_Summary!L$53*((J11+J17))/14/1000</f>
        <v>8671.4171428571444</v>
      </c>
      <c r="K252" s="50">
        <f>Inputs_Summary!M$53*((K11+K17))/14/1000</f>
        <v>0</v>
      </c>
      <c r="L252" s="50">
        <f>Inputs_Summary!N$53*((L11+L17))/14/1000</f>
        <v>0</v>
      </c>
      <c r="M252" s="50">
        <f>Inputs_Summary!O$53*((M11+M17))/14/1000</f>
        <v>0</v>
      </c>
      <c r="N252" s="50">
        <f>Inputs_Summary!P$53*((N11+N17))/14/1000</f>
        <v>0</v>
      </c>
      <c r="O252" s="50">
        <f>Inputs_Summary!Q$53*((O11+O17))/14/1000</f>
        <v>0</v>
      </c>
      <c r="P252" s="53"/>
      <c r="Q252" s="5">
        <f>G252+N252</f>
        <v>0</v>
      </c>
      <c r="R252" s="5">
        <f>SUM(K252:L252)</f>
        <v>0</v>
      </c>
      <c r="T252" s="5">
        <f>SUM(C252:O252)</f>
        <v>41210.605714285717</v>
      </c>
      <c r="Y252" s="12"/>
    </row>
    <row r="253" spans="2:25" x14ac:dyDescent="0.3">
      <c r="B253" s="3">
        <v>2040</v>
      </c>
      <c r="C253" s="50">
        <f>Inputs_Summary!E$53*((C12+C18))/10/1000</f>
        <v>33972.302000000003</v>
      </c>
      <c r="D253" s="50">
        <f>Inputs_Summary!F$53*((D12+D18))/10/1000</f>
        <v>0</v>
      </c>
      <c r="E253" s="50">
        <f>Inputs_Summary!G$53*((E12+E18))/10/1000</f>
        <v>13360.464</v>
      </c>
      <c r="F253" s="50">
        <f>Inputs_Summary!H$53*((F12+F18))/10/1000</f>
        <v>3706.56</v>
      </c>
      <c r="G253" s="50">
        <f>Inputs_Summary!I$53*((G12+G18))/10/1000</f>
        <v>0</v>
      </c>
      <c r="H253" s="50">
        <f>Inputs_Summary!J$53*((H12+H18))/10/1000</f>
        <v>25920</v>
      </c>
      <c r="I253" s="50">
        <f>Inputs_Summary!K$53*((I12+I18))/10/1000</f>
        <v>2210</v>
      </c>
      <c r="J253" s="50">
        <f>Inputs_Summary!L$53*((J12+J18))/10/1000</f>
        <v>28202.223999999998</v>
      </c>
      <c r="K253" s="50">
        <f>Inputs_Summary!M$53*((K12+K18))/10/1000</f>
        <v>0</v>
      </c>
      <c r="L253" s="50">
        <f>Inputs_Summary!N$53*((L12+L18))/10/1000</f>
        <v>0</v>
      </c>
      <c r="M253" s="50">
        <f>Inputs_Summary!O$53*((M12+M18))/10/1000</f>
        <v>0</v>
      </c>
      <c r="N253" s="50">
        <f>Inputs_Summary!P$53*((N12+N18))/10/1000</f>
        <v>0</v>
      </c>
      <c r="O253" s="50">
        <f>Inputs_Summary!Q$53*((O12+O18))/10/1000</f>
        <v>0</v>
      </c>
      <c r="P253" s="53"/>
      <c r="Q253" s="5">
        <f>G253+N253</f>
        <v>0</v>
      </c>
      <c r="R253" s="5">
        <f>SUM(K253:L253)</f>
        <v>0</v>
      </c>
      <c r="T253" s="5">
        <f>SUM(C253:O253)</f>
        <v>107371.55</v>
      </c>
      <c r="Y253" s="12"/>
    </row>
    <row r="254" spans="2:25" x14ac:dyDescent="0.3">
      <c r="B254" s="3">
        <v>2050</v>
      </c>
      <c r="C254" s="50">
        <f>Inputs_Summary!E$53*((C13+C19))/10/1000</f>
        <v>43561.052000000003</v>
      </c>
      <c r="D254" s="50">
        <f>Inputs_Summary!F$53*((D13+D19))/10/1000</f>
        <v>0</v>
      </c>
      <c r="E254" s="50">
        <f>Inputs_Summary!G$53*((E13+E19))/10/1000</f>
        <v>19184.256000000001</v>
      </c>
      <c r="F254" s="50">
        <f>Inputs_Summary!H$53*((F13+F19))/10/1000</f>
        <v>6857.1360000000004</v>
      </c>
      <c r="G254" s="50">
        <f>Inputs_Summary!I$53*((G13+G19))/10/1000</f>
        <v>0</v>
      </c>
      <c r="H254" s="50">
        <f>Inputs_Summary!J$53*((H13+H19))/10/1000</f>
        <v>33408</v>
      </c>
      <c r="I254" s="50">
        <f>Inputs_Summary!K$53*((I13+I19))/10/1000</f>
        <v>0</v>
      </c>
      <c r="J254" s="50">
        <f>Inputs_Summary!L$53*((J13+J19))/10/1000</f>
        <v>36336.239999999998</v>
      </c>
      <c r="K254" s="50">
        <f>Inputs_Summary!M$53*((K13+K19))/10/1000</f>
        <v>0</v>
      </c>
      <c r="L254" s="50">
        <f>Inputs_Summary!N$53*((L13+L19))/10/1000</f>
        <v>0</v>
      </c>
      <c r="M254" s="50">
        <f>Inputs_Summary!O$53*((M13+M19))/10/1000</f>
        <v>0</v>
      </c>
      <c r="N254" s="50">
        <f>Inputs_Summary!P$53*((N13+N19))/10/1000</f>
        <v>0</v>
      </c>
      <c r="O254" s="50">
        <f>Inputs_Summary!Q$53*((O13+O19))/10/1000</f>
        <v>0</v>
      </c>
      <c r="P254" s="53"/>
      <c r="Q254" s="5">
        <f>G254+N254</f>
        <v>0</v>
      </c>
      <c r="R254" s="5">
        <f>SUM(K254:L254)</f>
        <v>0</v>
      </c>
      <c r="T254" s="5">
        <f>SUM(C254:O254)</f>
        <v>139346.68400000001</v>
      </c>
      <c r="Y254" s="12"/>
    </row>
    <row r="255" spans="2:25" x14ac:dyDescent="0.3">
      <c r="B255" s="41"/>
      <c r="Y255" s="12"/>
    </row>
    <row r="256" spans="2:25" ht="28.8" x14ac:dyDescent="0.3">
      <c r="B256" s="43" t="s">
        <v>125</v>
      </c>
      <c r="C256" s="43" t="s">
        <v>0</v>
      </c>
      <c r="D256" s="43" t="s">
        <v>1</v>
      </c>
      <c r="E256" s="43" t="s">
        <v>28</v>
      </c>
      <c r="F256" s="2" t="s">
        <v>29</v>
      </c>
      <c r="G256" s="2" t="s">
        <v>6</v>
      </c>
      <c r="H256" s="43" t="s">
        <v>2</v>
      </c>
      <c r="I256" s="43" t="s">
        <v>3</v>
      </c>
      <c r="J256" s="43" t="s">
        <v>4</v>
      </c>
      <c r="K256" s="43" t="s">
        <v>9</v>
      </c>
      <c r="L256" s="43" t="s">
        <v>8</v>
      </c>
      <c r="M256" s="43" t="s">
        <v>25</v>
      </c>
      <c r="N256" s="43" t="s">
        <v>7</v>
      </c>
      <c r="O256" s="43" t="s">
        <v>89</v>
      </c>
      <c r="P256" s="25"/>
      <c r="Q256" s="43" t="s">
        <v>5</v>
      </c>
      <c r="R256" s="43" t="s">
        <v>91</v>
      </c>
      <c r="T256" s="43" t="s">
        <v>10</v>
      </c>
      <c r="Y256" s="12"/>
    </row>
    <row r="257" spans="2:25" x14ac:dyDescent="0.3">
      <c r="B257" s="3">
        <v>2016</v>
      </c>
      <c r="C257" s="50">
        <f>C52*Inputs_Summary!E$54/1000</f>
        <v>45896.9543048372</v>
      </c>
      <c r="D257" s="50">
        <f>D52*Inputs_Summary!F$54/1000</f>
        <v>1194.2541863648376</v>
      </c>
      <c r="E257" s="50">
        <f>E52*Inputs_Summary!G$54/1000</f>
        <v>24.194456191623686</v>
      </c>
      <c r="F257" s="50">
        <f>F52*Inputs_Summary!H$54/1000</f>
        <v>64.778037480530941</v>
      </c>
      <c r="G257" s="50">
        <f>G52*Inputs_Summary!I$54/1000</f>
        <v>0</v>
      </c>
      <c r="H257" s="50">
        <f>H52*Inputs_Summary!J$54/1000</f>
        <v>482.6659542319224</v>
      </c>
      <c r="I257" s="50">
        <f>I52*Inputs_Summary!K$54/1000</f>
        <v>107.59709033191633</v>
      </c>
      <c r="J257" s="50">
        <f>J52*Inputs_Summary!L$54/1000</f>
        <v>290.29948580609926</v>
      </c>
      <c r="K257" s="50">
        <f>K52*Inputs_Summary!M$54/1000</f>
        <v>0</v>
      </c>
      <c r="L257" s="50">
        <f>L52*Inputs_Summary!N$54/1000</f>
        <v>0</v>
      </c>
      <c r="M257" s="50">
        <f>M52*Inputs_Summary!O$54/1000</f>
        <v>0</v>
      </c>
      <c r="N257" s="50">
        <f>N52*Inputs_Summary!P$54/1000</f>
        <v>0</v>
      </c>
      <c r="O257" s="50">
        <f>O52*Inputs_Summary!Q$54/1000</f>
        <v>0</v>
      </c>
      <c r="P257" s="53"/>
      <c r="Q257" s="5">
        <f>G257+N257</f>
        <v>0</v>
      </c>
      <c r="R257" s="5">
        <f>SUM(K257:L257)</f>
        <v>0</v>
      </c>
      <c r="T257" s="5">
        <f>SUM(C257:O257)</f>
        <v>48060.743515244132</v>
      </c>
      <c r="Y257" s="12"/>
    </row>
    <row r="258" spans="2:25" x14ac:dyDescent="0.3">
      <c r="B258" s="3">
        <v>2030</v>
      </c>
      <c r="C258" s="50">
        <f>C53*Inputs_Summary!E$54/1000</f>
        <v>46459.81853507823</v>
      </c>
      <c r="D258" s="50">
        <f>D53*Inputs_Summary!F$54/1000</f>
        <v>1183.4320257601237</v>
      </c>
      <c r="E258" s="50">
        <f>E53*Inputs_Summary!G$54/1000</f>
        <v>713.92455240659535</v>
      </c>
      <c r="F258" s="50">
        <f>F53*Inputs_Summary!H$54/1000</f>
        <v>30.354767692503717</v>
      </c>
      <c r="G258" s="50">
        <f>G53*Inputs_Summary!I$54/1000</f>
        <v>0</v>
      </c>
      <c r="H258" s="50">
        <f>H53*Inputs_Summary!J$54/1000</f>
        <v>7235.5729521869243</v>
      </c>
      <c r="I258" s="50">
        <f>I53*Inputs_Summary!K$54/1000</f>
        <v>657.55403522602046</v>
      </c>
      <c r="J258" s="50">
        <f>J53*Inputs_Summary!L$54/1000</f>
        <v>3005.2341999599571</v>
      </c>
      <c r="K258" s="50">
        <f>K53*Inputs_Summary!M$54/1000</f>
        <v>0</v>
      </c>
      <c r="L258" s="50">
        <f>L53*Inputs_Summary!N$54/1000</f>
        <v>0</v>
      </c>
      <c r="M258" s="50">
        <f>M53*Inputs_Summary!O$54/1000</f>
        <v>0</v>
      </c>
      <c r="N258" s="50">
        <f>N53*Inputs_Summary!P$54/1000</f>
        <v>0</v>
      </c>
      <c r="O258" s="50">
        <f>O53*Inputs_Summary!Q$54/1000</f>
        <v>0</v>
      </c>
      <c r="P258" s="53"/>
      <c r="Q258" s="5">
        <f>G258+N258</f>
        <v>0</v>
      </c>
      <c r="R258" s="5">
        <f>SUM(K258:L258)</f>
        <v>0</v>
      </c>
      <c r="T258" s="5">
        <f>SUM(C258:O258)</f>
        <v>59285.891068310346</v>
      </c>
      <c r="Y258" s="12"/>
    </row>
    <row r="259" spans="2:25" x14ac:dyDescent="0.3">
      <c r="B259" s="3">
        <v>2040</v>
      </c>
      <c r="C259" s="50">
        <f>C54*Inputs_Summary!E$54/1000</f>
        <v>32795.256915228681</v>
      </c>
      <c r="D259" s="50">
        <f>D54*Inputs_Summary!F$54/1000</f>
        <v>1181.1082141782515</v>
      </c>
      <c r="E259" s="50">
        <f>E54*Inputs_Summary!G$54/1000</f>
        <v>2213.1870274585904</v>
      </c>
      <c r="F259" s="50">
        <f>F54*Inputs_Summary!H$54/1000</f>
        <v>28.600790684451081</v>
      </c>
      <c r="G259" s="50">
        <f>G54*Inputs_Summary!I$54/1000</f>
        <v>0</v>
      </c>
      <c r="H259" s="50">
        <f>H54*Inputs_Summary!J$54/1000</f>
        <v>14978.539370785797</v>
      </c>
      <c r="I259" s="50">
        <f>I54*Inputs_Summary!K$54/1000</f>
        <v>659.28437796145147</v>
      </c>
      <c r="J259" s="50">
        <f>J54*Inputs_Summary!L$54/1000</f>
        <v>6435.3385826008443</v>
      </c>
      <c r="K259" s="50">
        <f>K54*Inputs_Summary!M$54/1000</f>
        <v>0</v>
      </c>
      <c r="L259" s="50">
        <f>L54*Inputs_Summary!N$54/1000</f>
        <v>0</v>
      </c>
      <c r="M259" s="50">
        <f>M54*Inputs_Summary!O$54/1000</f>
        <v>0</v>
      </c>
      <c r="N259" s="50">
        <f>N54*Inputs_Summary!P$54/1000</f>
        <v>0</v>
      </c>
      <c r="O259" s="50">
        <f>O54*Inputs_Summary!Q$54/1000</f>
        <v>0</v>
      </c>
      <c r="P259" s="53"/>
      <c r="Q259" s="5">
        <f>G259+N259</f>
        <v>0</v>
      </c>
      <c r="R259" s="5">
        <f>SUM(K259:L259)</f>
        <v>0</v>
      </c>
      <c r="T259" s="5">
        <f>SUM(C259:O259)</f>
        <v>58291.315278898066</v>
      </c>
      <c r="Y259" s="12"/>
    </row>
    <row r="260" spans="2:25" x14ac:dyDescent="0.3">
      <c r="B260" s="3">
        <v>2050</v>
      </c>
      <c r="C260" s="50">
        <f>C55*Inputs_Summary!E$54/1000</f>
        <v>30588.981344290412</v>
      </c>
      <c r="D260" s="50">
        <f>D55*Inputs_Summary!F$54/1000</f>
        <v>0</v>
      </c>
      <c r="E260" s="50">
        <f>E55*Inputs_Summary!G$54/1000</f>
        <v>4035.3489066844872</v>
      </c>
      <c r="F260" s="50">
        <f>F55*Inputs_Summary!H$54/1000</f>
        <v>41.16240855135085</v>
      </c>
      <c r="G260" s="50">
        <f>G55*Inputs_Summary!I$54/1000</f>
        <v>0</v>
      </c>
      <c r="H260" s="50">
        <f>H55*Inputs_Summary!J$54/1000</f>
        <v>19182.406960554708</v>
      </c>
      <c r="I260" s="50">
        <f>I55*Inputs_Summary!K$54/1000</f>
        <v>0</v>
      </c>
      <c r="J260" s="50">
        <f>J55*Inputs_Summary!L$54/1000</f>
        <v>8124.9249717468238</v>
      </c>
      <c r="K260" s="50">
        <f>K55*Inputs_Summary!M$54/1000</f>
        <v>0</v>
      </c>
      <c r="L260" s="50">
        <f>L55*Inputs_Summary!N$54/1000</f>
        <v>0</v>
      </c>
      <c r="M260" s="50">
        <f>M55*Inputs_Summary!O$54/1000</f>
        <v>0</v>
      </c>
      <c r="N260" s="50">
        <f>N55*Inputs_Summary!P$54/1000</f>
        <v>0</v>
      </c>
      <c r="O260" s="50">
        <f>O55*Inputs_Summary!Q$54/1000</f>
        <v>0</v>
      </c>
      <c r="P260" s="53"/>
      <c r="Q260" s="5">
        <f>G260+N260</f>
        <v>0</v>
      </c>
      <c r="R260" s="5">
        <f>SUM(K260:L260)</f>
        <v>0</v>
      </c>
      <c r="T260" s="5">
        <f>SUM(C260:O260)</f>
        <v>61972.82459182779</v>
      </c>
      <c r="Y260" s="12"/>
    </row>
    <row r="261" spans="2:25" x14ac:dyDescent="0.3">
      <c r="B261" s="11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11"/>
      <c r="R261" s="11"/>
      <c r="Y261" s="12"/>
    </row>
    <row r="262" spans="2:25" ht="28.8" x14ac:dyDescent="0.3">
      <c r="B262" s="43" t="s">
        <v>126</v>
      </c>
      <c r="C262" s="43" t="s">
        <v>0</v>
      </c>
      <c r="D262" s="43" t="s">
        <v>1</v>
      </c>
      <c r="E262" s="43" t="s">
        <v>28</v>
      </c>
      <c r="F262" s="2" t="s">
        <v>29</v>
      </c>
      <c r="G262" s="2" t="s">
        <v>6</v>
      </c>
      <c r="H262" s="43" t="s">
        <v>2</v>
      </c>
      <c r="I262" s="43" t="s">
        <v>3</v>
      </c>
      <c r="J262" s="43" t="s">
        <v>4</v>
      </c>
      <c r="K262" s="43" t="s">
        <v>9</v>
      </c>
      <c r="L262" s="43" t="s">
        <v>8</v>
      </c>
      <c r="M262" s="43" t="s">
        <v>25</v>
      </c>
      <c r="N262" s="43" t="s">
        <v>7</v>
      </c>
      <c r="O262" s="43" t="s">
        <v>89</v>
      </c>
      <c r="P262" s="25"/>
      <c r="Q262" s="43" t="s">
        <v>5</v>
      </c>
      <c r="R262" s="43" t="s">
        <v>91</v>
      </c>
      <c r="T262" s="43" t="s">
        <v>10</v>
      </c>
      <c r="Y262" s="12"/>
    </row>
    <row r="263" spans="2:25" x14ac:dyDescent="0.3">
      <c r="B263" s="3">
        <v>2016</v>
      </c>
      <c r="C263" s="50">
        <v>0</v>
      </c>
      <c r="D263" s="50">
        <v>0</v>
      </c>
      <c r="E263" s="50">
        <v>0</v>
      </c>
      <c r="F263" s="50">
        <v>0</v>
      </c>
      <c r="G263" s="50">
        <v>0</v>
      </c>
      <c r="H263" s="50">
        <v>0</v>
      </c>
      <c r="I263" s="50">
        <v>0</v>
      </c>
      <c r="J263" s="50">
        <v>0</v>
      </c>
      <c r="K263" s="50">
        <v>0</v>
      </c>
      <c r="L263" s="50">
        <v>0</v>
      </c>
      <c r="M263" s="50">
        <v>0</v>
      </c>
      <c r="N263" s="50">
        <v>0</v>
      </c>
      <c r="O263" s="50">
        <v>0</v>
      </c>
      <c r="P263" s="53"/>
      <c r="Q263" s="5">
        <f>G263+N263</f>
        <v>0</v>
      </c>
      <c r="R263" s="5">
        <f>SUM(K263:L263)</f>
        <v>0</v>
      </c>
      <c r="T263" s="5">
        <f>SUM(C263:O263)</f>
        <v>0</v>
      </c>
      <c r="Y263" s="12"/>
    </row>
    <row r="264" spans="2:25" x14ac:dyDescent="0.3">
      <c r="B264" s="3">
        <v>2030</v>
      </c>
      <c r="C264" s="50">
        <f>Inputs_Summary!E$56*((C11+C17)-(C10+C16))/14/1000</f>
        <v>3771.1328571428571</v>
      </c>
      <c r="D264" s="50">
        <f>Inputs_Summary!F$56*((D11+D17)-(D10+D16))/14/1000</f>
        <v>0</v>
      </c>
      <c r="E264" s="50">
        <f>Inputs_Summary!G$56*((E11+E17)-(E10+E16))/14/1000</f>
        <v>585.6</v>
      </c>
      <c r="F264" s="50">
        <f>Inputs_Summary!H$56*((F11+F17)-(F10+F16))/14/1000</f>
        <v>362.05714285714282</v>
      </c>
      <c r="G264" s="50">
        <f>Inputs_Summary!I$56*((G11+G17)-(G10+G16))/14/1000</f>
        <v>0</v>
      </c>
      <c r="H264" s="50">
        <f>Inputs_Summary!J$56*((H11+H17)-(H10+H16))/14/1000</f>
        <v>5451.6</v>
      </c>
      <c r="I264" s="50">
        <f>Inputs_Summary!K$56*((I11+I17)-(I10+I16))/14/1000</f>
        <v>546.42857142857144</v>
      </c>
      <c r="J264" s="50">
        <f>Inputs_Summary!L$56*((J11+J17)-(J10+J16))/14/1000</f>
        <v>4892.5885714285714</v>
      </c>
      <c r="K264" s="50">
        <f>Inputs_Summary!M$56*((K11+K17)-(K10+K16))/14/1000</f>
        <v>0</v>
      </c>
      <c r="L264" s="50">
        <f>Inputs_Summary!N$56*((L11+L17)-(L10+L16))/14/1000</f>
        <v>0</v>
      </c>
      <c r="M264" s="50">
        <f>Inputs_Summary!O$56*((M11+M17)-(M10+M16))/14/1000</f>
        <v>0</v>
      </c>
      <c r="N264" s="50">
        <f>Inputs_Summary!P$56*((N11+N17)-(N10+N16))/14/1000</f>
        <v>0</v>
      </c>
      <c r="O264" s="50">
        <f>Inputs_Summary!Q$56*((O11+O17)-(O10+O16))/14/1000</f>
        <v>0</v>
      </c>
      <c r="P264" s="53"/>
      <c r="Q264" s="5">
        <f>G264+N264</f>
        <v>0</v>
      </c>
      <c r="R264" s="5">
        <f>SUM(K264:L264)</f>
        <v>0</v>
      </c>
      <c r="T264" s="5">
        <f>SUM(C264:O264)</f>
        <v>15609.407142857141</v>
      </c>
      <c r="Y264" s="12"/>
    </row>
    <row r="265" spans="2:25" x14ac:dyDescent="0.3">
      <c r="B265" s="3">
        <v>2040</v>
      </c>
      <c r="C265" s="50">
        <f>Inputs_Summary!E$56*((C12+C18))/10/1000</f>
        <v>7958.3140000000003</v>
      </c>
      <c r="D265" s="50">
        <f>Inputs_Summary!F$56*((D12+D18))/10/1000</f>
        <v>0</v>
      </c>
      <c r="E265" s="50">
        <f>Inputs_Summary!G$56*((E12+E18))/10/1000</f>
        <v>2283.84</v>
      </c>
      <c r="F265" s="50">
        <f>Inputs_Summary!H$56*((F12+F18))/10/1000</f>
        <v>633.6</v>
      </c>
      <c r="G265" s="50">
        <f>Inputs_Summary!I$56*((G12+G18))/10/1000</f>
        <v>0</v>
      </c>
      <c r="H265" s="50">
        <f>Inputs_Summary!J$56*((H12+H18))/10/1000</f>
        <v>17820</v>
      </c>
      <c r="I265" s="50">
        <f>Inputs_Summary!K$56*((I12+I18))/10/1000</f>
        <v>765</v>
      </c>
      <c r="J265" s="50">
        <f>Inputs_Summary!L$56*((J12+J18))/10/1000</f>
        <v>15912.263999999999</v>
      </c>
      <c r="K265" s="50">
        <f>Inputs_Summary!M$56*((K12+K18))/10/1000</f>
        <v>0</v>
      </c>
      <c r="L265" s="50">
        <f>Inputs_Summary!N$56*((L12+L18))/10/1000</f>
        <v>0</v>
      </c>
      <c r="M265" s="50">
        <f>Inputs_Summary!O$56*((M12+M18))/10/1000</f>
        <v>0</v>
      </c>
      <c r="N265" s="50">
        <f>Inputs_Summary!P$56*((N12+N18))/10/1000</f>
        <v>0</v>
      </c>
      <c r="O265" s="50">
        <f>Inputs_Summary!Q$56*((O12+O18))/10/1000</f>
        <v>0</v>
      </c>
      <c r="P265" s="53"/>
      <c r="Q265" s="5">
        <f>G265+N265</f>
        <v>0</v>
      </c>
      <c r="R265" s="5">
        <f>SUM(K265:L265)</f>
        <v>0</v>
      </c>
      <c r="T265" s="5">
        <f>SUM(C265:O265)</f>
        <v>45373.017999999996</v>
      </c>
      <c r="Y265" s="12"/>
    </row>
    <row r="266" spans="2:25" x14ac:dyDescent="0.3">
      <c r="B266" s="3">
        <v>2050</v>
      </c>
      <c r="C266" s="50">
        <f>Inputs_Summary!E$56*((C13+C19))/10/1000</f>
        <v>10204.564</v>
      </c>
      <c r="D266" s="50">
        <f>Inputs_Summary!F$56*((D13+D19))/10/1000</f>
        <v>0</v>
      </c>
      <c r="E266" s="50">
        <f>Inputs_Summary!G$56*((E13+E19))/10/1000</f>
        <v>3279.36</v>
      </c>
      <c r="F266" s="50">
        <f>Inputs_Summary!H$56*((F13+F19))/10/1000</f>
        <v>1172.1600000000001</v>
      </c>
      <c r="G266" s="50">
        <f>Inputs_Summary!I$56*((G13+G19))/10/1000</f>
        <v>0</v>
      </c>
      <c r="H266" s="50">
        <f>Inputs_Summary!J$56*((H13+H19))/10/1000</f>
        <v>22968</v>
      </c>
      <c r="I266" s="50">
        <f>Inputs_Summary!K$56*((I13+I19))/10/1000</f>
        <v>0</v>
      </c>
      <c r="J266" s="50">
        <f>Inputs_Summary!L$56*((J13+J19))/10/1000</f>
        <v>20501.64</v>
      </c>
      <c r="K266" s="50">
        <f>Inputs_Summary!M$56*((K13+K19))/10/1000</f>
        <v>0</v>
      </c>
      <c r="L266" s="50">
        <f>Inputs_Summary!N$56*((L13+L19))/10/1000</f>
        <v>0</v>
      </c>
      <c r="M266" s="50">
        <f>Inputs_Summary!O$56*((M13+M19))/10/1000</f>
        <v>0</v>
      </c>
      <c r="N266" s="50">
        <f>Inputs_Summary!P$56*((N13+N19))/10/1000</f>
        <v>0</v>
      </c>
      <c r="O266" s="50">
        <f>Inputs_Summary!Q$56*((O13+O19))/10/1000</f>
        <v>0</v>
      </c>
      <c r="P266" s="53"/>
      <c r="Q266" s="5">
        <f>G266+N266</f>
        <v>0</v>
      </c>
      <c r="R266" s="5">
        <f>SUM(K266:L266)</f>
        <v>0</v>
      </c>
      <c r="T266" s="5">
        <f>SUM(C266:O266)</f>
        <v>58125.724000000002</v>
      </c>
      <c r="Y266" s="12"/>
    </row>
    <row r="267" spans="2:25" x14ac:dyDescent="0.3">
      <c r="B267" s="41"/>
      <c r="Y267" s="12"/>
    </row>
    <row r="268" spans="2:25" ht="28.8" x14ac:dyDescent="0.3">
      <c r="B268" s="43" t="s">
        <v>127</v>
      </c>
      <c r="C268" s="43" t="s">
        <v>0</v>
      </c>
      <c r="D268" s="43" t="s">
        <v>1</v>
      </c>
      <c r="E268" s="43" t="s">
        <v>28</v>
      </c>
      <c r="F268" s="2" t="s">
        <v>29</v>
      </c>
      <c r="G268" s="2" t="s">
        <v>6</v>
      </c>
      <c r="H268" s="43" t="s">
        <v>2</v>
      </c>
      <c r="I268" s="43" t="s">
        <v>3</v>
      </c>
      <c r="J268" s="43" t="s">
        <v>4</v>
      </c>
      <c r="K268" s="43" t="s">
        <v>9</v>
      </c>
      <c r="L268" s="43" t="s">
        <v>8</v>
      </c>
      <c r="M268" s="43" t="s">
        <v>25</v>
      </c>
      <c r="N268" s="43" t="s">
        <v>7</v>
      </c>
      <c r="O268" s="43" t="s">
        <v>89</v>
      </c>
      <c r="P268" s="25"/>
      <c r="Q268" s="43" t="s">
        <v>5</v>
      </c>
      <c r="R268" s="43" t="s">
        <v>91</v>
      </c>
      <c r="T268" s="43" t="s">
        <v>10</v>
      </c>
      <c r="Y268" s="12"/>
    </row>
    <row r="269" spans="2:25" x14ac:dyDescent="0.3">
      <c r="B269" s="38"/>
      <c r="C269" s="50">
        <f>C52*Inputs_Summary!E$57/1000</f>
        <v>28685.596440523248</v>
      </c>
      <c r="D269" s="50">
        <f>D52*Inputs_Summary!F$57/1000</f>
        <v>176.92654612812407</v>
      </c>
      <c r="E269" s="50">
        <f>E52*Inputs_Summary!G$57/1000</f>
        <v>4.5364605359294412</v>
      </c>
      <c r="F269" s="50">
        <f>F52*Inputs_Summary!H$57/1000</f>
        <v>12.145882027599551</v>
      </c>
      <c r="G269" s="50">
        <f>G52*Inputs_Summary!I$57/1000</f>
        <v>0</v>
      </c>
      <c r="H269" s="50">
        <f>H52*Inputs_Summary!J$57/1000</f>
        <v>16.08886514106408</v>
      </c>
      <c r="I269" s="50">
        <f>I52*Inputs_Summary!K$57/1000</f>
        <v>12.415048884451885</v>
      </c>
      <c r="J269" s="50">
        <f>J52*Inputs_Summary!L$57/1000</f>
        <v>47.503552222816239</v>
      </c>
      <c r="K269" s="50">
        <f>K52*Inputs_Summary!M$57/1000</f>
        <v>0</v>
      </c>
      <c r="L269" s="50">
        <f>L52*Inputs_Summary!N$57/1000</f>
        <v>0</v>
      </c>
      <c r="M269" s="50">
        <f>M52*Inputs_Summary!O$57/1000</f>
        <v>0</v>
      </c>
      <c r="N269" s="50">
        <f>N52*Inputs_Summary!P$57/1000</f>
        <v>0</v>
      </c>
      <c r="O269" s="50">
        <f>O52*Inputs_Summary!Q$57/1000</f>
        <v>0</v>
      </c>
      <c r="P269" s="53"/>
      <c r="Q269" s="5">
        <f>G269+N269</f>
        <v>0</v>
      </c>
      <c r="R269" s="5">
        <f>SUM(K269:L269)</f>
        <v>0</v>
      </c>
      <c r="T269" s="5">
        <f>SUM(C269:O269)</f>
        <v>28955.212795463234</v>
      </c>
      <c r="Y269" s="12"/>
    </row>
    <row r="270" spans="2:25" x14ac:dyDescent="0.3">
      <c r="C270" s="50">
        <f>C53*Inputs_Summary!E$57/1000</f>
        <v>29037.386584423894</v>
      </c>
      <c r="D270" s="50">
        <f>D53*Inputs_Summary!F$57/1000</f>
        <v>175.32326307557389</v>
      </c>
      <c r="E270" s="50">
        <f>E53*Inputs_Summary!G$57/1000</f>
        <v>133.86085357623665</v>
      </c>
      <c r="F270" s="50">
        <f>F53*Inputs_Summary!H$57/1000</f>
        <v>5.6915189423444463</v>
      </c>
      <c r="G270" s="50">
        <f>G53*Inputs_Summary!I$57/1000</f>
        <v>0</v>
      </c>
      <c r="H270" s="50">
        <f>H53*Inputs_Summary!J$57/1000</f>
        <v>241.18576507289748</v>
      </c>
      <c r="I270" s="50">
        <f>I53*Inputs_Summary!K$57/1000</f>
        <v>75.871619449156199</v>
      </c>
      <c r="J270" s="50">
        <f>J53*Inputs_Summary!L$57/1000</f>
        <v>491.76559635708389</v>
      </c>
      <c r="K270" s="50">
        <f>K53*Inputs_Summary!M$57/1000</f>
        <v>0</v>
      </c>
      <c r="L270" s="50">
        <f>L53*Inputs_Summary!N$57/1000</f>
        <v>0</v>
      </c>
      <c r="M270" s="50">
        <f>M53*Inputs_Summary!O$57/1000</f>
        <v>0</v>
      </c>
      <c r="N270" s="50">
        <f>N53*Inputs_Summary!P$57/1000</f>
        <v>0</v>
      </c>
      <c r="O270" s="50">
        <f>O53*Inputs_Summary!Q$57/1000</f>
        <v>0</v>
      </c>
      <c r="P270" s="53"/>
      <c r="Q270" s="5">
        <f>G270+N270</f>
        <v>0</v>
      </c>
      <c r="R270" s="5">
        <f>SUM(K270:L270)</f>
        <v>0</v>
      </c>
      <c r="T270" s="5">
        <f>SUM(C270:O270)</f>
        <v>30161.085200897185</v>
      </c>
      <c r="Y270" s="12"/>
    </row>
    <row r="271" spans="2:25" x14ac:dyDescent="0.3">
      <c r="C271" s="50">
        <f>C54*Inputs_Summary!E$57/1000</f>
        <v>20497.035572017921</v>
      </c>
      <c r="D271" s="50">
        <f>D54*Inputs_Summary!F$57/1000</f>
        <v>174.97899469307433</v>
      </c>
      <c r="E271" s="50">
        <f>E54*Inputs_Summary!G$57/1000</f>
        <v>414.97256764848572</v>
      </c>
      <c r="F271" s="50">
        <f>F54*Inputs_Summary!H$57/1000</f>
        <v>5.3626482533345774</v>
      </c>
      <c r="G271" s="50">
        <f>G54*Inputs_Summary!I$57/1000</f>
        <v>0</v>
      </c>
      <c r="H271" s="50">
        <f>H54*Inputs_Summary!J$57/1000</f>
        <v>499.2846456928599</v>
      </c>
      <c r="I271" s="50">
        <f>I54*Inputs_Summary!K$57/1000</f>
        <v>76.071274380167466</v>
      </c>
      <c r="J271" s="50">
        <f>J54*Inputs_Summary!L$57/1000</f>
        <v>1053.0554044255925</v>
      </c>
      <c r="K271" s="50">
        <f>K54*Inputs_Summary!M$57/1000</f>
        <v>0</v>
      </c>
      <c r="L271" s="50">
        <f>L54*Inputs_Summary!N$57/1000</f>
        <v>0</v>
      </c>
      <c r="M271" s="50">
        <f>M54*Inputs_Summary!O$57/1000</f>
        <v>0</v>
      </c>
      <c r="N271" s="50">
        <f>N54*Inputs_Summary!P$57/1000</f>
        <v>0</v>
      </c>
      <c r="O271" s="50">
        <f>O54*Inputs_Summary!Q$57/1000</f>
        <v>0</v>
      </c>
      <c r="P271" s="53"/>
      <c r="Q271" s="5">
        <f>G271+N271</f>
        <v>0</v>
      </c>
      <c r="R271" s="5">
        <f>SUM(K271:L271)</f>
        <v>0</v>
      </c>
      <c r="T271" s="5">
        <f>SUM(C271:O271)</f>
        <v>22720.761107111437</v>
      </c>
      <c r="Y271" s="12"/>
    </row>
    <row r="272" spans="2:25" x14ac:dyDescent="0.3">
      <c r="C272" s="50">
        <f>C55*Inputs_Summary!E$57/1000</f>
        <v>19118.113340181506</v>
      </c>
      <c r="D272" s="50">
        <f>D55*Inputs_Summary!F$57/1000</f>
        <v>0</v>
      </c>
      <c r="E272" s="50">
        <f>E55*Inputs_Summary!G$57/1000</f>
        <v>756.62792000334127</v>
      </c>
      <c r="F272" s="50">
        <f>F55*Inputs_Summary!H$57/1000</f>
        <v>7.7179516033782836</v>
      </c>
      <c r="G272" s="50">
        <f>G55*Inputs_Summary!I$57/1000</f>
        <v>0</v>
      </c>
      <c r="H272" s="50">
        <f>H55*Inputs_Summary!J$57/1000</f>
        <v>639.41356535182354</v>
      </c>
      <c r="I272" s="50">
        <f>I55*Inputs_Summary!K$57/1000</f>
        <v>0</v>
      </c>
      <c r="J272" s="50">
        <f>J55*Inputs_Summary!L$57/1000</f>
        <v>1329.5331771949348</v>
      </c>
      <c r="K272" s="50">
        <f>K55*Inputs_Summary!M$57/1000</f>
        <v>0</v>
      </c>
      <c r="L272" s="50">
        <f>L55*Inputs_Summary!N$57/1000</f>
        <v>0</v>
      </c>
      <c r="M272" s="50">
        <f>M55*Inputs_Summary!O$57/1000</f>
        <v>0</v>
      </c>
      <c r="N272" s="50">
        <f>N55*Inputs_Summary!P$57/1000</f>
        <v>0</v>
      </c>
      <c r="O272" s="50">
        <f>O55*Inputs_Summary!Q$57/1000</f>
        <v>0</v>
      </c>
      <c r="P272" s="53"/>
      <c r="Q272" s="5">
        <f>G272+N272</f>
        <v>0</v>
      </c>
      <c r="R272" s="5">
        <f>SUM(K272:L272)</f>
        <v>0</v>
      </c>
      <c r="T272" s="5">
        <f>SUM(C272:O272)</f>
        <v>21851.405954334987</v>
      </c>
      <c r="Y272" s="60"/>
    </row>
    <row r="273" spans="2:30" s="11" customFormat="1" x14ac:dyDescent="0.3">
      <c r="B273" s="41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Q273" s="3"/>
      <c r="R273" s="3"/>
      <c r="S273" s="3"/>
      <c r="T273" s="3"/>
      <c r="U273" s="25"/>
      <c r="V273" s="25"/>
      <c r="X273" s="25"/>
      <c r="Y273" s="25"/>
      <c r="Z273" s="25"/>
    </row>
    <row r="274" spans="2:30" s="11" customFormat="1" ht="28.8" x14ac:dyDescent="0.3">
      <c r="B274" s="43" t="s">
        <v>123</v>
      </c>
      <c r="C274" s="43" t="s">
        <v>0</v>
      </c>
      <c r="D274" s="43" t="s">
        <v>1</v>
      </c>
      <c r="E274" s="43" t="s">
        <v>28</v>
      </c>
      <c r="F274" s="2" t="s">
        <v>29</v>
      </c>
      <c r="G274" s="2" t="s">
        <v>6</v>
      </c>
      <c r="H274" s="43" t="s">
        <v>2</v>
      </c>
      <c r="I274" s="43" t="s">
        <v>3</v>
      </c>
      <c r="J274" s="43" t="s">
        <v>4</v>
      </c>
      <c r="K274" s="43" t="s">
        <v>9</v>
      </c>
      <c r="L274" s="43" t="s">
        <v>8</v>
      </c>
      <c r="M274" s="43" t="s">
        <v>25</v>
      </c>
      <c r="N274" s="43" t="s">
        <v>7</v>
      </c>
      <c r="O274" s="43" t="s">
        <v>89</v>
      </c>
      <c r="P274" s="25"/>
      <c r="Q274" s="43" t="s">
        <v>5</v>
      </c>
      <c r="R274" s="43" t="s">
        <v>91</v>
      </c>
      <c r="S274" s="3"/>
      <c r="T274" s="43" t="s">
        <v>10</v>
      </c>
      <c r="U274" s="57"/>
      <c r="V274" s="20"/>
      <c r="X274" s="57"/>
      <c r="Y274" s="24"/>
      <c r="Z274" s="63"/>
    </row>
    <row r="275" spans="2:30" s="11" customFormat="1" x14ac:dyDescent="0.3">
      <c r="B275" s="38"/>
      <c r="C275" s="50">
        <f>C251+C257+C263+C269</f>
        <v>74582.550745360451</v>
      </c>
      <c r="D275" s="50">
        <f t="shared" ref="D275:O275" si="91">D251+D257+D263+D269</f>
        <v>1371.1807324929616</v>
      </c>
      <c r="E275" s="50">
        <f t="shared" si="91"/>
        <v>28.730916727553129</v>
      </c>
      <c r="F275" s="50">
        <f t="shared" si="91"/>
        <v>76.923919508130496</v>
      </c>
      <c r="G275" s="50">
        <f t="shared" si="91"/>
        <v>0</v>
      </c>
      <c r="H275" s="50">
        <f t="shared" si="91"/>
        <v>498.7548193729865</v>
      </c>
      <c r="I275" s="50">
        <f t="shared" si="91"/>
        <v>120.01213921636821</v>
      </c>
      <c r="J275" s="50">
        <f t="shared" si="91"/>
        <v>337.80303802891547</v>
      </c>
      <c r="K275" s="50">
        <f t="shared" si="91"/>
        <v>0</v>
      </c>
      <c r="L275" s="50">
        <f t="shared" si="91"/>
        <v>0</v>
      </c>
      <c r="M275" s="50">
        <f t="shared" si="91"/>
        <v>0</v>
      </c>
      <c r="N275" s="50">
        <f t="shared" si="91"/>
        <v>0</v>
      </c>
      <c r="O275" s="50">
        <f t="shared" si="91"/>
        <v>0</v>
      </c>
      <c r="P275" s="53"/>
      <c r="Q275" s="5">
        <f>G275+N275</f>
        <v>0</v>
      </c>
      <c r="R275" s="5">
        <f>SUM(K275:L275)</f>
        <v>0</v>
      </c>
      <c r="S275" s="3"/>
      <c r="T275" s="5">
        <f>SUM(C275:O275)</f>
        <v>77015.956310707377</v>
      </c>
      <c r="U275" s="57"/>
      <c r="V275" s="20"/>
      <c r="X275" s="57"/>
      <c r="Y275" s="24"/>
      <c r="Z275" s="63"/>
    </row>
    <row r="276" spans="2:30" s="11" customFormat="1" x14ac:dyDescent="0.3">
      <c r="B276" s="3"/>
      <c r="C276" s="50">
        <f t="shared" ref="C276:O278" si="92">C252+C258+C264+C270</f>
        <v>96685.160833787842</v>
      </c>
      <c r="D276" s="50">
        <f t="shared" si="92"/>
        <v>1358.7552888356977</v>
      </c>
      <c r="E276" s="50">
        <f t="shared" si="92"/>
        <v>4859.1454059828329</v>
      </c>
      <c r="F276" s="50">
        <f t="shared" si="92"/>
        <v>2516.1377152062769</v>
      </c>
      <c r="G276" s="50">
        <f t="shared" si="92"/>
        <v>0</v>
      </c>
      <c r="H276" s="50">
        <f t="shared" si="92"/>
        <v>20928.358717259824</v>
      </c>
      <c r="I276" s="50">
        <f t="shared" si="92"/>
        <v>2858.4256546751767</v>
      </c>
      <c r="J276" s="50">
        <f t="shared" si="92"/>
        <v>17061.005510602758</v>
      </c>
      <c r="K276" s="50">
        <f t="shared" si="92"/>
        <v>0</v>
      </c>
      <c r="L276" s="50">
        <f t="shared" si="92"/>
        <v>0</v>
      </c>
      <c r="M276" s="50">
        <f t="shared" si="92"/>
        <v>0</v>
      </c>
      <c r="N276" s="50">
        <f t="shared" si="92"/>
        <v>0</v>
      </c>
      <c r="O276" s="50">
        <f t="shared" si="92"/>
        <v>0</v>
      </c>
      <c r="P276" s="53"/>
      <c r="Q276" s="5">
        <f>G276+N276</f>
        <v>0</v>
      </c>
      <c r="R276" s="5">
        <f>SUM(K276:L276)</f>
        <v>0</v>
      </c>
      <c r="S276" s="3"/>
      <c r="T276" s="5">
        <f>SUM(C276:O276)</f>
        <v>146266.98912635041</v>
      </c>
      <c r="U276" s="57"/>
      <c r="V276" s="20"/>
      <c r="X276" s="57"/>
      <c r="Y276" s="24"/>
      <c r="Z276" s="63"/>
    </row>
    <row r="277" spans="2:30" s="11" customFormat="1" x14ac:dyDescent="0.3">
      <c r="B277" s="3"/>
      <c r="C277" s="50">
        <f t="shared" si="92"/>
        <v>95222.908487246605</v>
      </c>
      <c r="D277" s="50">
        <f t="shared" si="92"/>
        <v>1356.0872088713259</v>
      </c>
      <c r="E277" s="50">
        <f t="shared" si="92"/>
        <v>18272.463595107078</v>
      </c>
      <c r="F277" s="50">
        <f t="shared" si="92"/>
        <v>4374.123438937786</v>
      </c>
      <c r="G277" s="50">
        <f t="shared" si="92"/>
        <v>0</v>
      </c>
      <c r="H277" s="50">
        <f t="shared" si="92"/>
        <v>59217.824016478655</v>
      </c>
      <c r="I277" s="50">
        <f t="shared" si="92"/>
        <v>3710.3556523416187</v>
      </c>
      <c r="J277" s="50">
        <f t="shared" si="92"/>
        <v>51602.881987026434</v>
      </c>
      <c r="K277" s="50">
        <f t="shared" si="92"/>
        <v>0</v>
      </c>
      <c r="L277" s="50">
        <f t="shared" si="92"/>
        <v>0</v>
      </c>
      <c r="M277" s="50">
        <f t="shared" si="92"/>
        <v>0</v>
      </c>
      <c r="N277" s="50">
        <f t="shared" si="92"/>
        <v>0</v>
      </c>
      <c r="O277" s="50">
        <f t="shared" si="92"/>
        <v>0</v>
      </c>
      <c r="P277" s="53"/>
      <c r="Q277" s="5">
        <f>G277+N277</f>
        <v>0</v>
      </c>
      <c r="R277" s="5">
        <f>SUM(K277:L277)</f>
        <v>0</v>
      </c>
      <c r="S277" s="3"/>
      <c r="T277" s="5">
        <f>SUM(C277:O277)</f>
        <v>233756.64438600949</v>
      </c>
      <c r="U277" s="57"/>
      <c r="V277" s="20"/>
      <c r="X277" s="57"/>
      <c r="Y277" s="24"/>
      <c r="Z277" s="63"/>
    </row>
    <row r="278" spans="2:30" s="11" customFormat="1" x14ac:dyDescent="0.3">
      <c r="B278" s="3"/>
      <c r="C278" s="50">
        <f t="shared" si="92"/>
        <v>103472.71068447192</v>
      </c>
      <c r="D278" s="50">
        <f t="shared" si="92"/>
        <v>0</v>
      </c>
      <c r="E278" s="50">
        <f t="shared" si="92"/>
        <v>27255.592826687833</v>
      </c>
      <c r="F278" s="50">
        <f t="shared" si="92"/>
        <v>8078.17636015473</v>
      </c>
      <c r="G278" s="50">
        <f t="shared" si="92"/>
        <v>0</v>
      </c>
      <c r="H278" s="50">
        <f t="shared" si="92"/>
        <v>76197.820525906529</v>
      </c>
      <c r="I278" s="50">
        <f t="shared" si="92"/>
        <v>0</v>
      </c>
      <c r="J278" s="50">
        <f t="shared" si="92"/>
        <v>66292.338148941752</v>
      </c>
      <c r="K278" s="50">
        <f t="shared" si="92"/>
        <v>0</v>
      </c>
      <c r="L278" s="50">
        <f t="shared" si="92"/>
        <v>0</v>
      </c>
      <c r="M278" s="50">
        <f t="shared" si="92"/>
        <v>0</v>
      </c>
      <c r="N278" s="50">
        <f t="shared" si="92"/>
        <v>0</v>
      </c>
      <c r="O278" s="50">
        <f t="shared" si="92"/>
        <v>0</v>
      </c>
      <c r="P278" s="53"/>
      <c r="Q278" s="5">
        <f>G278+N278</f>
        <v>0</v>
      </c>
      <c r="R278" s="5">
        <f>SUM(K278:L278)</f>
        <v>0</v>
      </c>
      <c r="S278" s="3"/>
      <c r="T278" s="5">
        <f>SUM(C278:O278)</f>
        <v>281296.63854616275</v>
      </c>
    </row>
    <row r="279" spans="2:30" s="58" customFormat="1" ht="21" x14ac:dyDescent="0.4">
      <c r="B279" s="59"/>
      <c r="P279" s="11"/>
    </row>
    <row r="280" spans="2:30" s="11" customFormat="1" x14ac:dyDescent="0.3">
      <c r="B280" s="25"/>
      <c r="C280" s="25"/>
      <c r="D280" s="25"/>
      <c r="E280" s="25"/>
      <c r="F280" s="60"/>
      <c r="G280" s="60"/>
      <c r="H280" s="25"/>
      <c r="I280" s="25"/>
      <c r="J280" s="25"/>
      <c r="K280" s="25"/>
      <c r="L280" s="25"/>
      <c r="M280" s="25"/>
      <c r="N280" s="25"/>
      <c r="O280" s="25"/>
      <c r="Q280" s="25"/>
      <c r="R280" s="25"/>
      <c r="S280" s="25"/>
      <c r="T280" s="25"/>
      <c r="U280" s="25"/>
      <c r="V280" s="25"/>
      <c r="X280" s="25"/>
      <c r="AB280" s="12"/>
      <c r="AC280" s="12"/>
      <c r="AD280" s="12"/>
    </row>
    <row r="281" spans="2:30" s="11" customFormat="1" x14ac:dyDescent="0.3"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Q281" s="62"/>
      <c r="R281" s="62"/>
      <c r="S281" s="62"/>
      <c r="T281" s="57"/>
      <c r="U281" s="57"/>
      <c r="V281" s="57"/>
      <c r="W281" s="57"/>
      <c r="X281" s="57"/>
      <c r="AB281" s="12"/>
      <c r="AC281" s="12"/>
      <c r="AD281" s="12"/>
    </row>
    <row r="282" spans="2:30" s="11" customFormat="1" x14ac:dyDescent="0.3"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Q282" s="62"/>
      <c r="R282" s="62"/>
      <c r="S282" s="62"/>
      <c r="T282" s="57"/>
      <c r="U282" s="57"/>
      <c r="V282" s="57"/>
      <c r="W282" s="57"/>
      <c r="X282" s="57"/>
      <c r="AC282" s="12"/>
      <c r="AD282" s="12"/>
    </row>
    <row r="283" spans="2:30" s="11" customFormat="1" x14ac:dyDescent="0.3"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Q283" s="62"/>
      <c r="R283" s="62"/>
      <c r="S283" s="62"/>
      <c r="T283" s="57"/>
      <c r="U283" s="57"/>
      <c r="V283" s="57"/>
      <c r="W283" s="57"/>
      <c r="X283" s="57"/>
      <c r="AC283" s="12"/>
      <c r="AD283" s="12"/>
    </row>
    <row r="284" spans="2:30" s="11" customFormat="1" x14ac:dyDescent="0.3"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Q284" s="62"/>
      <c r="R284" s="62"/>
      <c r="S284" s="62"/>
      <c r="T284" s="57"/>
      <c r="U284" s="57"/>
      <c r="V284" s="57"/>
      <c r="W284" s="57"/>
      <c r="X284" s="57"/>
      <c r="AB284" s="12"/>
      <c r="AC284" s="12"/>
      <c r="AD284" s="12"/>
    </row>
    <row r="285" spans="2:30" s="11" customFormat="1" x14ac:dyDescent="0.3">
      <c r="T285" s="57"/>
      <c r="U285" s="57"/>
      <c r="V285" s="57"/>
      <c r="W285" s="57"/>
      <c r="X285" s="57"/>
      <c r="AB285" s="12"/>
      <c r="AC285" s="12"/>
      <c r="AD285" s="12"/>
    </row>
    <row r="286" spans="2:30" s="11" customFormat="1" x14ac:dyDescent="0.3">
      <c r="B286" s="25"/>
      <c r="C286" s="25"/>
      <c r="D286" s="25"/>
      <c r="E286" s="25"/>
      <c r="F286" s="60"/>
      <c r="G286" s="60"/>
      <c r="H286" s="25"/>
      <c r="I286" s="25"/>
      <c r="J286" s="25"/>
      <c r="K286" s="25"/>
      <c r="L286" s="25"/>
      <c r="M286" s="25"/>
      <c r="N286" s="25"/>
      <c r="O286" s="25"/>
      <c r="Q286" s="25"/>
      <c r="R286" s="25"/>
      <c r="S286" s="25"/>
      <c r="T286" s="25"/>
      <c r="U286" s="25"/>
      <c r="V286" s="25"/>
      <c r="X286" s="25"/>
      <c r="AB286" s="12"/>
      <c r="AC286" s="12"/>
      <c r="AD286" s="12"/>
    </row>
    <row r="287" spans="2:30" s="11" customFormat="1" x14ac:dyDescent="0.3"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Q287" s="61"/>
      <c r="R287" s="61"/>
      <c r="S287" s="61"/>
      <c r="T287" s="57"/>
      <c r="U287" s="57"/>
      <c r="V287" s="57"/>
      <c r="W287" s="57"/>
      <c r="X287" s="57"/>
      <c r="AB287" s="12"/>
      <c r="AC287" s="12"/>
      <c r="AD287" s="12"/>
    </row>
    <row r="288" spans="2:30" s="11" customFormat="1" x14ac:dyDescent="0.3"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Q288" s="62"/>
      <c r="R288" s="62"/>
      <c r="S288" s="62"/>
      <c r="T288" s="57"/>
      <c r="U288" s="57"/>
      <c r="V288" s="57"/>
      <c r="W288" s="57"/>
      <c r="X288" s="57"/>
      <c r="AC288" s="12"/>
      <c r="AD288" s="12"/>
    </row>
    <row r="289" spans="1:30" s="11" customFormat="1" x14ac:dyDescent="0.3"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Q289" s="62"/>
      <c r="R289" s="62"/>
      <c r="S289" s="62"/>
      <c r="T289" s="57"/>
      <c r="U289" s="57"/>
      <c r="V289" s="57"/>
      <c r="W289" s="57"/>
      <c r="X289" s="57"/>
      <c r="AC289" s="12"/>
      <c r="AD289" s="12"/>
    </row>
    <row r="290" spans="1:30" s="11" customFormat="1" x14ac:dyDescent="0.3"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Q290" s="62"/>
      <c r="R290" s="62"/>
      <c r="S290" s="62"/>
      <c r="T290" s="57"/>
      <c r="U290" s="57"/>
      <c r="V290" s="57"/>
      <c r="W290" s="57"/>
      <c r="X290" s="57"/>
      <c r="AD290" s="12"/>
    </row>
    <row r="291" spans="1:30" s="11" customFormat="1" x14ac:dyDescent="0.3"/>
    <row r="292" spans="1:30" s="11" customFormat="1" x14ac:dyDescent="0.3">
      <c r="B292" s="25"/>
      <c r="C292" s="25"/>
      <c r="D292" s="25"/>
      <c r="E292" s="25"/>
      <c r="F292" s="60"/>
      <c r="G292" s="60"/>
      <c r="H292" s="25"/>
      <c r="I292" s="25"/>
      <c r="J292" s="25"/>
      <c r="K292" s="25"/>
      <c r="L292" s="25"/>
      <c r="M292" s="25"/>
      <c r="N292" s="25"/>
      <c r="O292" s="25"/>
      <c r="Q292" s="25"/>
      <c r="R292" s="25"/>
      <c r="S292" s="25"/>
      <c r="T292" s="25"/>
      <c r="U292" s="25"/>
      <c r="V292" s="25"/>
      <c r="X292" s="25"/>
      <c r="Y292" s="25"/>
      <c r="Z292" s="25"/>
      <c r="AA292" s="25"/>
    </row>
    <row r="293" spans="1:30" s="11" customFormat="1" x14ac:dyDescent="0.3">
      <c r="A293" s="20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Q293" s="62"/>
      <c r="R293" s="62"/>
      <c r="S293" s="62"/>
      <c r="T293" s="57"/>
      <c r="U293" s="57"/>
      <c r="V293" s="57"/>
      <c r="W293" s="57"/>
      <c r="X293" s="57"/>
      <c r="Y293" s="24"/>
      <c r="Z293" s="24"/>
      <c r="AA293" s="26"/>
      <c r="AB293" s="12"/>
      <c r="AC293" s="14"/>
    </row>
    <row r="294" spans="1:30" s="11" customFormat="1" x14ac:dyDescent="0.3">
      <c r="A294" s="20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Q294" s="62"/>
      <c r="R294" s="62"/>
      <c r="S294" s="62"/>
      <c r="T294" s="57"/>
      <c r="U294" s="57"/>
      <c r="V294" s="57"/>
      <c r="W294" s="57"/>
      <c r="X294" s="57"/>
      <c r="Y294" s="24"/>
      <c r="Z294" s="24"/>
      <c r="AA294" s="26"/>
      <c r="AC294" s="14"/>
    </row>
    <row r="295" spans="1:30" s="11" customFormat="1" x14ac:dyDescent="0.3">
      <c r="A295" s="20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Q295" s="62"/>
      <c r="R295" s="62"/>
      <c r="S295" s="62"/>
      <c r="T295" s="57"/>
      <c r="U295" s="57"/>
      <c r="V295" s="57"/>
      <c r="W295" s="57"/>
      <c r="X295" s="57"/>
      <c r="Y295" s="24"/>
      <c r="Z295" s="24"/>
      <c r="AA295" s="26"/>
      <c r="AC295" s="14"/>
    </row>
    <row r="296" spans="1:30" s="11" customFormat="1" x14ac:dyDescent="0.3">
      <c r="A296" s="20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Q296" s="62"/>
      <c r="R296" s="62"/>
      <c r="S296" s="62"/>
      <c r="T296" s="57"/>
      <c r="U296" s="57"/>
      <c r="V296" s="57"/>
      <c r="W296" s="57"/>
      <c r="X296" s="57"/>
      <c r="Y296" s="24"/>
      <c r="Z296" s="24"/>
      <c r="AA296" s="26"/>
      <c r="AC296" s="14"/>
    </row>
    <row r="297" spans="1:30" s="11" customFormat="1" x14ac:dyDescent="0.3"/>
    <row r="298" spans="1:30" s="11" customFormat="1" x14ac:dyDescent="0.3"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Q298" s="26"/>
      <c r="R298" s="26"/>
      <c r="S298" s="26"/>
      <c r="T298" s="28"/>
      <c r="U298" s="28"/>
      <c r="V298" s="28"/>
      <c r="X298" s="27"/>
    </row>
    <row r="299" spans="1:30" s="11" customFormat="1" x14ac:dyDescent="0.3"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Q299" s="26"/>
      <c r="R299" s="26"/>
      <c r="S299" s="26"/>
      <c r="T299" s="28"/>
      <c r="U299" s="28"/>
      <c r="V299" s="28"/>
      <c r="X299" s="27"/>
    </row>
    <row r="300" spans="1:30" s="11" customFormat="1" x14ac:dyDescent="0.3"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Q300" s="26"/>
      <c r="R300" s="26"/>
      <c r="S300" s="26"/>
      <c r="T300" s="28"/>
      <c r="U300" s="28"/>
      <c r="V300" s="28"/>
      <c r="X300" s="27"/>
    </row>
    <row r="301" spans="1:30" s="11" customFormat="1" x14ac:dyDescent="0.3"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Q301" s="26"/>
      <c r="R301" s="26"/>
      <c r="S301" s="26"/>
      <c r="T301" s="28"/>
      <c r="U301" s="28"/>
      <c r="V301" s="28"/>
      <c r="X301" s="27"/>
    </row>
    <row r="302" spans="1:30" s="11" customFormat="1" x14ac:dyDescent="0.3"/>
    <row r="303" spans="1:30" s="58" customFormat="1" ht="21" x14ac:dyDescent="0.4">
      <c r="B303" s="59"/>
      <c r="P303" s="11"/>
    </row>
    <row r="304" spans="1:30" s="58" customFormat="1" ht="21" x14ac:dyDescent="0.4">
      <c r="B304" s="59"/>
      <c r="P304" s="11"/>
    </row>
    <row r="305" spans="2:24" s="11" customFormat="1" x14ac:dyDescent="0.3">
      <c r="B305" s="3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Q305" s="64"/>
      <c r="R305" s="64"/>
      <c r="S305" s="64"/>
    </row>
    <row r="306" spans="2:24" s="11" customFormat="1" x14ac:dyDescent="0.3">
      <c r="B306" s="25"/>
      <c r="C306" s="25"/>
      <c r="D306" s="25"/>
      <c r="E306" s="25"/>
      <c r="F306" s="60"/>
      <c r="G306" s="60"/>
      <c r="H306" s="25"/>
      <c r="I306" s="25"/>
      <c r="J306" s="25"/>
      <c r="K306" s="25"/>
      <c r="L306" s="25"/>
      <c r="M306" s="25"/>
      <c r="N306" s="25"/>
      <c r="O306" s="25"/>
      <c r="Q306" s="25"/>
      <c r="R306" s="25"/>
      <c r="S306" s="25"/>
      <c r="T306" s="25"/>
      <c r="U306" s="25"/>
      <c r="V306" s="25"/>
      <c r="X306" s="25"/>
    </row>
    <row r="307" spans="2:24" s="11" customFormat="1" x14ac:dyDescent="0.3"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Q307" s="26"/>
      <c r="R307" s="26"/>
      <c r="S307" s="26"/>
      <c r="T307" s="63"/>
      <c r="U307" s="63"/>
      <c r="V307" s="63"/>
      <c r="W307" s="57"/>
      <c r="X307" s="57"/>
    </row>
    <row r="308" spans="2:24" s="11" customFormat="1" x14ac:dyDescent="0.3"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Q308" s="26"/>
      <c r="R308" s="26"/>
      <c r="S308" s="26"/>
      <c r="T308" s="63"/>
      <c r="U308" s="63"/>
      <c r="V308" s="63"/>
      <c r="W308" s="57"/>
      <c r="X308" s="57"/>
    </row>
    <row r="309" spans="2:24" s="11" customFormat="1" x14ac:dyDescent="0.3"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Q309" s="26"/>
      <c r="R309" s="26"/>
      <c r="S309" s="26"/>
      <c r="T309" s="63"/>
      <c r="U309" s="63"/>
      <c r="V309" s="63"/>
      <c r="W309" s="57"/>
      <c r="X309" s="57"/>
    </row>
    <row r="310" spans="2:24" s="11" customFormat="1" x14ac:dyDescent="0.3"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Q310" s="26"/>
      <c r="R310" s="26"/>
      <c r="S310" s="26"/>
      <c r="T310" s="63"/>
      <c r="U310" s="63"/>
      <c r="V310" s="63"/>
      <c r="W310" s="57"/>
      <c r="X310" s="57"/>
    </row>
    <row r="311" spans="2:24" s="11" customFormat="1" x14ac:dyDescent="0.3"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Q311" s="28"/>
      <c r="R311" s="28"/>
      <c r="S311" s="28"/>
      <c r="T311" s="57"/>
      <c r="U311" s="57"/>
      <c r="V311" s="57"/>
      <c r="W311" s="57"/>
      <c r="X311" s="57"/>
    </row>
    <row r="312" spans="2:24" s="11" customFormat="1" x14ac:dyDescent="0.3">
      <c r="B312" s="25"/>
      <c r="C312" s="25"/>
      <c r="D312" s="2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Q312" s="25"/>
      <c r="R312" s="65"/>
      <c r="S312" s="65"/>
      <c r="T312" s="25"/>
      <c r="U312" s="25"/>
      <c r="V312" s="25"/>
      <c r="X312" s="25"/>
    </row>
    <row r="313" spans="2:24" s="11" customFormat="1" x14ac:dyDescent="0.3"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Q313" s="26"/>
      <c r="R313" s="26"/>
      <c r="S313" s="26"/>
      <c r="T313" s="63"/>
      <c r="U313" s="63"/>
      <c r="V313" s="63"/>
      <c r="W313" s="57"/>
      <c r="X313" s="57"/>
    </row>
    <row r="314" spans="2:24" s="11" customFormat="1" x14ac:dyDescent="0.3"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Q314" s="26"/>
      <c r="R314" s="26"/>
      <c r="S314" s="26"/>
      <c r="T314" s="63"/>
      <c r="U314" s="63"/>
      <c r="V314" s="63"/>
      <c r="W314" s="57"/>
      <c r="X314" s="57"/>
    </row>
    <row r="315" spans="2:24" s="11" customFormat="1" x14ac:dyDescent="0.3"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Q315" s="26"/>
      <c r="R315" s="26"/>
      <c r="S315" s="26"/>
      <c r="T315" s="63"/>
      <c r="U315" s="63"/>
      <c r="V315" s="63"/>
      <c r="W315" s="57"/>
      <c r="X315" s="57"/>
    </row>
    <row r="316" spans="2:24" s="11" customFormat="1" x14ac:dyDescent="0.3"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Q316" s="26"/>
      <c r="R316" s="26"/>
      <c r="S316" s="26"/>
      <c r="T316" s="63"/>
      <c r="U316" s="63"/>
      <c r="V316" s="63"/>
      <c r="W316" s="57"/>
      <c r="X316" s="57"/>
    </row>
    <row r="317" spans="2:24" s="11" customFormat="1" x14ac:dyDescent="0.3"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Q317" s="28"/>
      <c r="R317" s="28"/>
      <c r="S317" s="28"/>
    </row>
    <row r="318" spans="2:24" s="11" customFormat="1" x14ac:dyDescent="0.3">
      <c r="B318" s="25"/>
      <c r="C318" s="25"/>
      <c r="D318" s="2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Q318" s="25"/>
      <c r="R318" s="65"/>
      <c r="S318" s="65"/>
      <c r="T318" s="25"/>
      <c r="U318" s="25"/>
      <c r="V318" s="25"/>
      <c r="X318" s="25"/>
    </row>
    <row r="319" spans="2:24" s="11" customFormat="1" x14ac:dyDescent="0.3"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Q319" s="26"/>
      <c r="R319" s="26"/>
      <c r="S319" s="26"/>
      <c r="T319" s="63"/>
      <c r="U319" s="63"/>
      <c r="V319" s="63"/>
      <c r="W319" s="57"/>
      <c r="X319" s="57"/>
    </row>
    <row r="320" spans="2:24" s="11" customFormat="1" x14ac:dyDescent="0.3"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Q320" s="26"/>
      <c r="R320" s="26"/>
      <c r="S320" s="26"/>
      <c r="T320" s="63"/>
      <c r="U320" s="63"/>
      <c r="V320" s="63"/>
      <c r="W320" s="57"/>
      <c r="X320" s="57"/>
    </row>
    <row r="321" spans="2:24" s="11" customFormat="1" x14ac:dyDescent="0.3"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Q321" s="26"/>
      <c r="R321" s="26"/>
      <c r="S321" s="26"/>
      <c r="T321" s="63"/>
      <c r="U321" s="63"/>
      <c r="V321" s="63"/>
      <c r="W321" s="57"/>
      <c r="X321" s="57"/>
    </row>
    <row r="322" spans="2:24" s="11" customFormat="1" x14ac:dyDescent="0.3"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Q322" s="26"/>
      <c r="R322" s="26"/>
      <c r="S322" s="26"/>
      <c r="T322" s="63"/>
      <c r="U322" s="63"/>
      <c r="V322" s="63"/>
      <c r="W322" s="57"/>
      <c r="X322" s="57"/>
    </row>
    <row r="323" spans="2:24" s="11" customFormat="1" x14ac:dyDescent="0.3"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Q323" s="28"/>
      <c r="R323" s="28"/>
      <c r="S323" s="28"/>
    </row>
    <row r="324" spans="2:24" s="11" customFormat="1" x14ac:dyDescent="0.3">
      <c r="C324" s="12"/>
      <c r="D324" s="12"/>
      <c r="E324" s="14"/>
      <c r="F324" s="14"/>
      <c r="G324" s="14"/>
      <c r="H324" s="16"/>
      <c r="I324" s="14"/>
      <c r="J324" s="14"/>
      <c r="K324" s="16"/>
      <c r="L324" s="14"/>
      <c r="M324" s="16"/>
      <c r="N324" s="20"/>
      <c r="O324" s="20"/>
    </row>
    <row r="325" spans="2:24" s="58" customFormat="1" ht="21" x14ac:dyDescent="0.4">
      <c r="B325" s="59"/>
      <c r="P325" s="11"/>
    </row>
    <row r="326" spans="2:24" s="58" customFormat="1" ht="21" x14ac:dyDescent="0.4">
      <c r="B326" s="59"/>
      <c r="C326" s="66"/>
      <c r="D326" s="66"/>
      <c r="P326" s="11"/>
    </row>
    <row r="327" spans="2:24" s="58" customFormat="1" x14ac:dyDescent="0.3">
      <c r="B327" s="67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11"/>
      <c r="Q327" s="62"/>
      <c r="R327" s="62"/>
      <c r="S327" s="61"/>
    </row>
    <row r="328" spans="2:24" s="11" customFormat="1" x14ac:dyDescent="0.3">
      <c r="B328" s="25"/>
      <c r="C328" s="25"/>
      <c r="D328" s="25"/>
      <c r="E328" s="25"/>
      <c r="F328" s="60"/>
      <c r="G328" s="60"/>
      <c r="H328" s="25"/>
      <c r="I328" s="25"/>
      <c r="J328" s="25"/>
      <c r="K328" s="25"/>
      <c r="L328" s="25"/>
      <c r="M328" s="25"/>
      <c r="N328" s="25"/>
      <c r="O328" s="25"/>
      <c r="Q328" s="25"/>
      <c r="R328" s="25"/>
      <c r="S328" s="25"/>
      <c r="T328" s="25"/>
      <c r="U328" s="25"/>
      <c r="V328" s="25"/>
      <c r="X328" s="25"/>
    </row>
    <row r="329" spans="2:24" s="11" customFormat="1" x14ac:dyDescent="0.3"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Q329" s="62"/>
      <c r="R329" s="62"/>
      <c r="S329" s="62"/>
      <c r="T329" s="57"/>
      <c r="U329" s="57"/>
      <c r="V329" s="57"/>
      <c r="W329" s="57"/>
      <c r="X329" s="57"/>
    </row>
    <row r="330" spans="2:24" s="11" customFormat="1" x14ac:dyDescent="0.3"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Q330" s="62"/>
      <c r="R330" s="62"/>
      <c r="S330" s="62"/>
      <c r="T330" s="57"/>
      <c r="U330" s="57"/>
      <c r="V330" s="57"/>
      <c r="W330" s="57"/>
      <c r="X330" s="57"/>
    </row>
    <row r="331" spans="2:24" s="11" customFormat="1" x14ac:dyDescent="0.3"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Q331" s="62"/>
      <c r="R331" s="62"/>
      <c r="S331" s="62"/>
      <c r="T331" s="57"/>
      <c r="U331" s="57"/>
      <c r="V331" s="57"/>
      <c r="W331" s="57"/>
      <c r="X331" s="57"/>
    </row>
    <row r="332" spans="2:24" s="11" customFormat="1" x14ac:dyDescent="0.3"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Q332" s="62"/>
      <c r="R332" s="62"/>
      <c r="S332" s="62"/>
      <c r="T332" s="57"/>
      <c r="U332" s="57"/>
      <c r="V332" s="57"/>
      <c r="W332" s="57"/>
      <c r="X332" s="57"/>
    </row>
    <row r="333" spans="2:24" s="11" customFormat="1" x14ac:dyDescent="0.3">
      <c r="T333" s="57"/>
      <c r="U333" s="57"/>
      <c r="V333" s="57"/>
      <c r="W333" s="57"/>
      <c r="X333" s="57"/>
    </row>
    <row r="334" spans="2:24" s="11" customFormat="1" x14ac:dyDescent="0.3">
      <c r="B334" s="25"/>
      <c r="C334" s="25"/>
      <c r="D334" s="25"/>
      <c r="E334" s="25"/>
      <c r="F334" s="60"/>
      <c r="G334" s="60"/>
      <c r="H334" s="25"/>
      <c r="I334" s="25"/>
      <c r="J334" s="25"/>
      <c r="K334" s="25"/>
      <c r="L334" s="25"/>
      <c r="M334" s="25"/>
      <c r="N334" s="25"/>
      <c r="O334" s="25"/>
      <c r="Q334" s="25"/>
      <c r="R334" s="25"/>
      <c r="S334" s="25"/>
      <c r="T334" s="25"/>
      <c r="U334" s="25"/>
      <c r="V334" s="25"/>
      <c r="X334" s="25"/>
    </row>
    <row r="335" spans="2:24" s="11" customFormat="1" x14ac:dyDescent="0.3"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Q335" s="62"/>
      <c r="R335" s="62"/>
      <c r="S335" s="62"/>
      <c r="T335" s="57"/>
      <c r="U335" s="57"/>
      <c r="V335" s="57"/>
      <c r="W335" s="57"/>
      <c r="X335" s="57"/>
    </row>
    <row r="336" spans="2:24" s="11" customFormat="1" x14ac:dyDescent="0.3"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Q336" s="62"/>
      <c r="R336" s="62"/>
      <c r="S336" s="62"/>
      <c r="T336" s="57"/>
      <c r="U336" s="57"/>
      <c r="V336" s="57"/>
      <c r="W336" s="57"/>
      <c r="X336" s="57"/>
    </row>
    <row r="337" spans="2:27" s="11" customFormat="1" x14ac:dyDescent="0.3"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Q337" s="62"/>
      <c r="R337" s="62"/>
      <c r="S337" s="62"/>
      <c r="T337" s="57"/>
      <c r="U337" s="57"/>
      <c r="V337" s="57"/>
      <c r="W337" s="57"/>
      <c r="X337" s="57"/>
    </row>
    <row r="338" spans="2:27" s="11" customFormat="1" x14ac:dyDescent="0.3"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Q338" s="62"/>
      <c r="R338" s="62"/>
      <c r="S338" s="62"/>
      <c r="T338" s="57"/>
      <c r="U338" s="57"/>
      <c r="V338" s="57"/>
      <c r="W338" s="57"/>
      <c r="X338" s="57"/>
    </row>
    <row r="339" spans="2:27" s="11" customFormat="1" x14ac:dyDescent="0.3"/>
    <row r="340" spans="2:27" s="11" customFormat="1" x14ac:dyDescent="0.3">
      <c r="B340" s="25"/>
      <c r="C340" s="25"/>
      <c r="D340" s="25"/>
      <c r="E340" s="25"/>
      <c r="F340" s="60"/>
      <c r="G340" s="60"/>
      <c r="H340" s="25"/>
      <c r="I340" s="25"/>
      <c r="J340" s="25"/>
      <c r="K340" s="25"/>
      <c r="L340" s="25"/>
      <c r="M340" s="25"/>
      <c r="N340" s="25"/>
      <c r="O340" s="25"/>
      <c r="Q340" s="25"/>
      <c r="R340" s="25"/>
      <c r="S340" s="25"/>
      <c r="T340" s="25"/>
      <c r="U340" s="25"/>
      <c r="V340" s="25"/>
      <c r="X340" s="25"/>
      <c r="Y340" s="25"/>
      <c r="Z340" s="25"/>
      <c r="AA340" s="25"/>
    </row>
    <row r="341" spans="2:27" s="11" customFormat="1" x14ac:dyDescent="0.3"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Q341" s="62"/>
      <c r="R341" s="62"/>
      <c r="S341" s="62"/>
      <c r="T341" s="57"/>
      <c r="U341" s="57"/>
      <c r="V341" s="57"/>
      <c r="W341" s="57"/>
      <c r="X341" s="57"/>
      <c r="Y341" s="35"/>
      <c r="Z341" s="24"/>
      <c r="AA341" s="26"/>
    </row>
    <row r="342" spans="2:27" s="11" customFormat="1" x14ac:dyDescent="0.3"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Q342" s="62"/>
      <c r="R342" s="62"/>
      <c r="S342" s="62"/>
      <c r="T342" s="57"/>
      <c r="U342" s="57"/>
      <c r="V342" s="57"/>
      <c r="W342" s="57"/>
      <c r="X342" s="57"/>
      <c r="Y342" s="35"/>
      <c r="Z342" s="24"/>
      <c r="AA342" s="26"/>
    </row>
    <row r="343" spans="2:27" s="11" customFormat="1" x14ac:dyDescent="0.3"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Q343" s="62"/>
      <c r="R343" s="62"/>
      <c r="S343" s="62"/>
      <c r="T343" s="57"/>
      <c r="U343" s="57"/>
      <c r="V343" s="57"/>
      <c r="W343" s="57"/>
      <c r="X343" s="57"/>
      <c r="Y343" s="35"/>
      <c r="Z343" s="24"/>
      <c r="AA343" s="26"/>
    </row>
    <row r="344" spans="2:27" s="11" customFormat="1" x14ac:dyDescent="0.3"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Q344" s="62"/>
      <c r="R344" s="62"/>
      <c r="S344" s="62"/>
      <c r="T344" s="57"/>
      <c r="U344" s="57"/>
      <c r="V344" s="57"/>
      <c r="W344" s="57"/>
      <c r="X344" s="57"/>
      <c r="Y344" s="35"/>
      <c r="Z344" s="24"/>
      <c r="AA344" s="26"/>
    </row>
    <row r="345" spans="2:27" s="11" customFormat="1" x14ac:dyDescent="0.3"/>
    <row r="346" spans="2:27" s="11" customFormat="1" x14ac:dyDescent="0.3"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Q346" s="29"/>
      <c r="R346" s="29"/>
      <c r="S346" s="29"/>
      <c r="T346" s="28"/>
      <c r="U346" s="28"/>
      <c r="V346" s="28"/>
      <c r="X346" s="27"/>
    </row>
    <row r="347" spans="2:27" s="11" customFormat="1" x14ac:dyDescent="0.3"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Q347" s="29"/>
      <c r="R347" s="29"/>
      <c r="S347" s="29"/>
      <c r="T347" s="28"/>
      <c r="U347" s="28"/>
      <c r="V347" s="28"/>
      <c r="X347" s="27"/>
    </row>
    <row r="348" spans="2:27" s="11" customFormat="1" x14ac:dyDescent="0.3"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Q348" s="29"/>
      <c r="R348" s="29"/>
      <c r="S348" s="29"/>
      <c r="T348" s="28"/>
      <c r="U348" s="28"/>
      <c r="V348" s="28"/>
      <c r="X348" s="27"/>
    </row>
    <row r="349" spans="2:27" s="11" customFormat="1" x14ac:dyDescent="0.3"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Q349" s="29"/>
      <c r="R349" s="29"/>
      <c r="S349" s="29"/>
      <c r="T349" s="28"/>
      <c r="U349" s="28"/>
      <c r="V349" s="28"/>
      <c r="X349" s="27"/>
    </row>
    <row r="350" spans="2:27" s="11" customFormat="1" x14ac:dyDescent="0.3"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Q350" s="29"/>
      <c r="R350" s="29"/>
      <c r="S350" s="29"/>
      <c r="T350" s="28"/>
      <c r="U350" s="28"/>
      <c r="V350" s="28"/>
      <c r="X350" s="27"/>
    </row>
    <row r="351" spans="2:27" s="58" customFormat="1" ht="21" x14ac:dyDescent="0.4">
      <c r="B351" s="59"/>
      <c r="P351" s="11"/>
    </row>
    <row r="352" spans="2:27" s="58" customFormat="1" ht="21" x14ac:dyDescent="0.4">
      <c r="B352" s="59"/>
      <c r="C352" s="68"/>
      <c r="D352" s="68"/>
      <c r="E352" s="68"/>
      <c r="P352" s="11"/>
    </row>
    <row r="353" spans="2:27" s="58" customFormat="1" ht="15.75" customHeight="1" x14ac:dyDescent="0.3">
      <c r="B353" s="67"/>
      <c r="C353" s="62"/>
      <c r="D353" s="56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11"/>
      <c r="Q353" s="62"/>
      <c r="R353" s="62"/>
      <c r="S353" s="61"/>
    </row>
    <row r="354" spans="2:27" s="58" customFormat="1" x14ac:dyDescent="0.3">
      <c r="B354" s="67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11"/>
      <c r="Q354" s="62"/>
      <c r="R354" s="62"/>
      <c r="S354" s="61"/>
    </row>
    <row r="355" spans="2:27" s="58" customFormat="1" x14ac:dyDescent="0.3">
      <c r="B355" s="67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11"/>
      <c r="Q355" s="53"/>
      <c r="R355" s="53"/>
      <c r="S355" s="53"/>
    </row>
    <row r="356" spans="2:27" s="11" customFormat="1" x14ac:dyDescent="0.3">
      <c r="B356" s="25"/>
      <c r="C356" s="25"/>
      <c r="D356" s="25"/>
      <c r="E356" s="25"/>
      <c r="F356" s="60"/>
      <c r="G356" s="60"/>
      <c r="H356" s="25"/>
      <c r="I356" s="25"/>
      <c r="J356" s="25"/>
      <c r="K356" s="25"/>
      <c r="L356" s="25"/>
      <c r="M356" s="25"/>
      <c r="N356" s="25"/>
      <c r="O356" s="25"/>
      <c r="Q356" s="25"/>
      <c r="R356" s="25"/>
      <c r="S356" s="25"/>
      <c r="T356" s="25"/>
      <c r="U356" s="25"/>
      <c r="V356" s="25"/>
      <c r="X356" s="25"/>
    </row>
    <row r="357" spans="2:27" s="11" customFormat="1" x14ac:dyDescent="0.3"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Q357" s="62"/>
      <c r="R357" s="62"/>
      <c r="S357" s="62"/>
      <c r="T357" s="57"/>
      <c r="U357" s="57"/>
      <c r="V357" s="57"/>
      <c r="W357" s="57"/>
      <c r="X357" s="57"/>
    </row>
    <row r="358" spans="2:27" s="11" customFormat="1" x14ac:dyDescent="0.3"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Q358" s="62"/>
      <c r="R358" s="62"/>
      <c r="S358" s="62"/>
      <c r="T358" s="57"/>
      <c r="U358" s="57"/>
      <c r="V358" s="57"/>
      <c r="W358" s="57"/>
      <c r="X358" s="57"/>
    </row>
    <row r="359" spans="2:27" s="11" customFormat="1" x14ac:dyDescent="0.3"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Q359" s="62"/>
      <c r="R359" s="62"/>
      <c r="S359" s="62"/>
      <c r="T359" s="57"/>
      <c r="U359" s="57"/>
      <c r="V359" s="57"/>
      <c r="W359" s="57"/>
      <c r="X359" s="57"/>
    </row>
    <row r="360" spans="2:27" s="11" customFormat="1" x14ac:dyDescent="0.3"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Q360" s="62"/>
      <c r="R360" s="62"/>
      <c r="S360" s="62"/>
      <c r="T360" s="57"/>
      <c r="U360" s="57"/>
      <c r="V360" s="57"/>
      <c r="W360" s="57"/>
      <c r="X360" s="57"/>
    </row>
    <row r="361" spans="2:27" s="11" customFormat="1" x14ac:dyDescent="0.3"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Q361" s="69"/>
      <c r="R361" s="69"/>
      <c r="S361" s="69"/>
      <c r="T361" s="57"/>
      <c r="U361" s="57"/>
      <c r="V361" s="57"/>
      <c r="W361" s="57"/>
      <c r="X361" s="57"/>
    </row>
    <row r="362" spans="2:27" s="11" customFormat="1" x14ac:dyDescent="0.3">
      <c r="T362" s="57"/>
      <c r="U362" s="57"/>
      <c r="V362" s="57"/>
      <c r="W362" s="57"/>
      <c r="X362" s="57"/>
      <c r="AA362" s="57"/>
    </row>
    <row r="363" spans="2:27" s="11" customFormat="1" x14ac:dyDescent="0.3">
      <c r="B363" s="67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Q363" s="56"/>
      <c r="R363" s="56"/>
      <c r="S363" s="56"/>
      <c r="T363" s="57"/>
      <c r="U363" s="57"/>
      <c r="V363" s="57"/>
      <c r="W363" s="57"/>
      <c r="X363" s="57"/>
    </row>
    <row r="364" spans="2:27" s="11" customFormat="1" x14ac:dyDescent="0.3"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Q364" s="56"/>
      <c r="R364" s="56"/>
      <c r="S364" s="56"/>
      <c r="T364" s="57"/>
      <c r="U364" s="57"/>
      <c r="V364" s="57"/>
      <c r="W364" s="57"/>
      <c r="X364" s="57"/>
    </row>
    <row r="365" spans="2:27" s="11" customFormat="1" x14ac:dyDescent="0.3"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Q365" s="56"/>
      <c r="R365" s="56"/>
      <c r="S365" s="56"/>
      <c r="T365" s="57"/>
      <c r="U365" s="57"/>
      <c r="V365" s="57"/>
      <c r="W365" s="57"/>
      <c r="X365" s="57"/>
    </row>
    <row r="366" spans="2:27" s="11" customFormat="1" x14ac:dyDescent="0.3"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Q366" s="56"/>
      <c r="R366" s="56"/>
      <c r="S366" s="56"/>
      <c r="T366" s="57"/>
      <c r="U366" s="57"/>
      <c r="V366" s="57"/>
      <c r="W366" s="57"/>
      <c r="X366" s="57"/>
    </row>
    <row r="367" spans="2:27" s="58" customFormat="1" x14ac:dyDescent="0.3">
      <c r="B367" s="67"/>
      <c r="C367" s="62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11"/>
      <c r="Q367" s="56"/>
      <c r="R367" s="56"/>
      <c r="S367" s="56"/>
    </row>
    <row r="368" spans="2:27" s="11" customFormat="1" x14ac:dyDescent="0.3">
      <c r="C368" s="62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Q368" s="56"/>
      <c r="R368" s="56"/>
      <c r="S368" s="56"/>
      <c r="T368" s="57"/>
      <c r="U368" s="57"/>
      <c r="V368" s="57"/>
      <c r="W368" s="57"/>
      <c r="X368" s="57"/>
    </row>
    <row r="369" spans="2:27" s="11" customFormat="1" x14ac:dyDescent="0.3">
      <c r="C369" s="62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Q369" s="56"/>
      <c r="R369" s="56"/>
      <c r="S369" s="56"/>
      <c r="T369" s="57"/>
      <c r="U369" s="57"/>
      <c r="V369" s="57"/>
      <c r="W369" s="57"/>
      <c r="X369" s="57"/>
    </row>
    <row r="370" spans="2:27" s="11" customFormat="1" x14ac:dyDescent="0.3">
      <c r="C370" s="62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Q370" s="56"/>
      <c r="R370" s="56"/>
      <c r="S370" s="56"/>
      <c r="T370" s="57"/>
      <c r="U370" s="57"/>
      <c r="V370" s="57"/>
      <c r="W370" s="57"/>
      <c r="X370" s="57"/>
    </row>
    <row r="371" spans="2:27" s="58" customFormat="1" x14ac:dyDescent="0.3">
      <c r="B371" s="67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11"/>
      <c r="Q371" s="70"/>
      <c r="R371" s="70"/>
      <c r="S371" s="70"/>
    </row>
    <row r="372" spans="2:27" s="11" customFormat="1" x14ac:dyDescent="0.3"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Q372" s="70"/>
      <c r="R372" s="70"/>
      <c r="S372" s="70"/>
      <c r="T372" s="57"/>
      <c r="U372" s="57"/>
      <c r="V372" s="57"/>
      <c r="W372" s="57"/>
      <c r="X372" s="57"/>
    </row>
    <row r="373" spans="2:27" s="11" customFormat="1" x14ac:dyDescent="0.3"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Q373" s="70"/>
      <c r="R373" s="70"/>
      <c r="S373" s="70"/>
      <c r="T373" s="57"/>
      <c r="U373" s="57"/>
      <c r="V373" s="57"/>
      <c r="W373" s="57"/>
      <c r="X373" s="57"/>
    </row>
    <row r="374" spans="2:27" s="11" customFormat="1" x14ac:dyDescent="0.3"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Q374" s="70"/>
      <c r="R374" s="70"/>
      <c r="S374" s="70"/>
      <c r="T374" s="57"/>
      <c r="U374" s="57"/>
      <c r="V374" s="57"/>
      <c r="W374" s="57"/>
      <c r="X374" s="57"/>
    </row>
    <row r="375" spans="2:27" s="11" customFormat="1" x14ac:dyDescent="0.3">
      <c r="B375" s="25"/>
      <c r="C375" s="25"/>
      <c r="D375" s="25"/>
      <c r="E375" s="25"/>
      <c r="F375" s="60"/>
      <c r="G375" s="60"/>
      <c r="H375" s="25"/>
      <c r="I375" s="25"/>
      <c r="J375" s="25"/>
      <c r="K375" s="25"/>
      <c r="L375" s="25"/>
      <c r="M375" s="25"/>
      <c r="N375" s="25"/>
      <c r="O375" s="25"/>
      <c r="Q375" s="25"/>
      <c r="R375" s="25"/>
      <c r="S375" s="25"/>
      <c r="T375" s="25"/>
      <c r="U375" s="25"/>
      <c r="V375" s="25"/>
      <c r="X375" s="25"/>
    </row>
    <row r="376" spans="2:27" s="11" customFormat="1" x14ac:dyDescent="0.3"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Q376" s="62"/>
      <c r="R376" s="62"/>
      <c r="S376" s="62"/>
      <c r="T376" s="57"/>
      <c r="U376" s="57"/>
      <c r="V376" s="57"/>
      <c r="W376" s="57"/>
      <c r="X376" s="57"/>
    </row>
    <row r="377" spans="2:27" s="11" customFormat="1" x14ac:dyDescent="0.3"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Q377" s="62"/>
      <c r="R377" s="62"/>
      <c r="S377" s="62"/>
      <c r="T377" s="57"/>
      <c r="U377" s="57"/>
      <c r="V377" s="57"/>
      <c r="W377" s="57"/>
      <c r="X377" s="57"/>
    </row>
    <row r="378" spans="2:27" s="11" customFormat="1" x14ac:dyDescent="0.3"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Q378" s="62"/>
      <c r="R378" s="62"/>
      <c r="S378" s="62"/>
      <c r="T378" s="57"/>
      <c r="U378" s="57"/>
      <c r="V378" s="57"/>
      <c r="W378" s="57"/>
      <c r="X378" s="57"/>
    </row>
    <row r="379" spans="2:27" s="11" customFormat="1" x14ac:dyDescent="0.3"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Q379" s="62"/>
      <c r="R379" s="62"/>
      <c r="S379" s="62"/>
      <c r="T379" s="57"/>
      <c r="U379" s="57"/>
      <c r="V379" s="57"/>
      <c r="W379" s="57"/>
      <c r="X379" s="57"/>
    </row>
    <row r="380" spans="2:27" s="11" customFormat="1" x14ac:dyDescent="0.3"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Q380" s="69"/>
      <c r="R380" s="69"/>
      <c r="S380" s="69"/>
    </row>
    <row r="381" spans="2:27" s="11" customFormat="1" x14ac:dyDescent="0.3">
      <c r="B381" s="25"/>
      <c r="C381" s="25"/>
      <c r="D381" s="25"/>
      <c r="E381" s="25"/>
      <c r="F381" s="60"/>
      <c r="G381" s="60"/>
      <c r="H381" s="25"/>
      <c r="I381" s="25"/>
      <c r="J381" s="25"/>
      <c r="K381" s="25"/>
      <c r="L381" s="25"/>
      <c r="M381" s="25"/>
      <c r="N381" s="25"/>
      <c r="O381" s="25"/>
      <c r="Q381" s="25"/>
      <c r="R381" s="25"/>
      <c r="S381" s="25"/>
      <c r="T381" s="25"/>
      <c r="U381" s="25"/>
      <c r="V381" s="25"/>
      <c r="X381" s="25"/>
      <c r="Y381" s="25"/>
      <c r="Z381" s="25"/>
      <c r="AA381" s="25"/>
    </row>
    <row r="382" spans="2:27" s="11" customFormat="1" x14ac:dyDescent="0.3"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Q382" s="62"/>
      <c r="R382" s="62"/>
      <c r="S382" s="62"/>
      <c r="T382" s="57"/>
      <c r="U382" s="57"/>
      <c r="V382" s="57"/>
      <c r="W382" s="57"/>
      <c r="X382" s="71"/>
      <c r="Y382" s="75"/>
      <c r="Z382" s="79"/>
      <c r="AA382" s="26"/>
    </row>
    <row r="383" spans="2:27" s="11" customFormat="1" x14ac:dyDescent="0.3"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Q383" s="62"/>
      <c r="R383" s="62"/>
      <c r="S383" s="62"/>
      <c r="T383" s="57"/>
      <c r="U383" s="57"/>
      <c r="V383" s="57"/>
      <c r="W383" s="57"/>
      <c r="X383" s="71"/>
      <c r="Y383" s="75"/>
      <c r="Z383" s="79"/>
      <c r="AA383" s="26"/>
    </row>
    <row r="384" spans="2:27" s="11" customFormat="1" x14ac:dyDescent="0.3"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Q384" s="62"/>
      <c r="R384" s="62"/>
      <c r="S384" s="62"/>
      <c r="T384" s="57"/>
      <c r="U384" s="57"/>
      <c r="V384" s="57"/>
      <c r="W384" s="57"/>
      <c r="X384" s="71"/>
      <c r="Y384" s="75"/>
      <c r="Z384" s="79"/>
      <c r="AA384" s="26"/>
    </row>
    <row r="385" spans="2:27" s="11" customFormat="1" x14ac:dyDescent="0.3"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Q385" s="62"/>
      <c r="R385" s="62"/>
      <c r="S385" s="62"/>
      <c r="T385" s="57"/>
      <c r="U385" s="57"/>
      <c r="V385" s="57"/>
      <c r="W385" s="57"/>
      <c r="X385" s="71"/>
      <c r="Y385" s="75"/>
      <c r="Z385" s="79"/>
      <c r="AA385" s="26"/>
    </row>
    <row r="386" spans="2:27" s="11" customFormat="1" x14ac:dyDescent="0.3"/>
    <row r="387" spans="2:27" s="11" customFormat="1" x14ac:dyDescent="0.3"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Q387" s="29"/>
      <c r="R387" s="29"/>
      <c r="S387" s="29"/>
      <c r="T387" s="28"/>
      <c r="U387" s="28"/>
      <c r="V387" s="28"/>
      <c r="X387" s="27"/>
    </row>
    <row r="388" spans="2:27" s="11" customFormat="1" x14ac:dyDescent="0.3"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Q388" s="29"/>
      <c r="R388" s="29"/>
      <c r="S388" s="29"/>
      <c r="T388" s="28"/>
      <c r="U388" s="28"/>
      <c r="V388" s="28"/>
      <c r="X388" s="27"/>
    </row>
    <row r="389" spans="2:27" s="11" customFormat="1" x14ac:dyDescent="0.3"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Q389" s="29"/>
      <c r="R389" s="29"/>
      <c r="S389" s="29"/>
      <c r="T389" s="28"/>
      <c r="U389" s="28"/>
      <c r="V389" s="28"/>
      <c r="X389" s="27"/>
    </row>
    <row r="390" spans="2:27" s="11" customFormat="1" x14ac:dyDescent="0.3"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Q390" s="29"/>
      <c r="R390" s="29"/>
      <c r="S390" s="29"/>
      <c r="T390" s="28"/>
      <c r="U390" s="28"/>
      <c r="V390" s="28"/>
      <c r="X390" s="27"/>
    </row>
    <row r="391" spans="2:27" s="11" customFormat="1" x14ac:dyDescent="0.3"/>
    <row r="392" spans="2:27" s="11" customFormat="1" x14ac:dyDescent="0.3">
      <c r="B392" s="34"/>
      <c r="C392" s="25"/>
      <c r="D392" s="25"/>
      <c r="E392" s="25"/>
      <c r="F392" s="60"/>
      <c r="G392" s="60"/>
      <c r="H392" s="25"/>
      <c r="I392" s="25"/>
      <c r="J392" s="25"/>
      <c r="K392" s="25"/>
      <c r="L392" s="25"/>
      <c r="M392" s="25"/>
      <c r="N392" s="25"/>
      <c r="O392" s="25"/>
      <c r="Q392" s="25"/>
      <c r="R392" s="25"/>
      <c r="S392" s="25"/>
      <c r="T392" s="25"/>
      <c r="U392" s="25"/>
      <c r="V392" s="25"/>
      <c r="X392" s="54"/>
    </row>
    <row r="393" spans="2:27" s="11" customFormat="1" x14ac:dyDescent="0.3"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Q393" s="53"/>
      <c r="R393" s="53"/>
      <c r="S393" s="53"/>
      <c r="X393" s="54"/>
    </row>
    <row r="394" spans="2:27" s="11" customFormat="1" x14ac:dyDescent="0.3"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Q394" s="53"/>
      <c r="R394" s="53"/>
      <c r="S394" s="53"/>
      <c r="X394" s="54"/>
    </row>
    <row r="395" spans="2:27" s="11" customFormat="1" x14ac:dyDescent="0.3"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Q395" s="53"/>
      <c r="R395" s="53"/>
      <c r="S395" s="53"/>
      <c r="X395" s="54"/>
    </row>
    <row r="396" spans="2:27" s="11" customFormat="1" x14ac:dyDescent="0.3"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Q396" s="53"/>
      <c r="R396" s="53"/>
      <c r="S396" s="53"/>
      <c r="X396" s="54"/>
    </row>
    <row r="397" spans="2:27" s="11" customFormat="1" x14ac:dyDescent="0.3">
      <c r="B397" s="34"/>
    </row>
    <row r="398" spans="2:27" s="11" customFormat="1" x14ac:dyDescent="0.3">
      <c r="B398" s="34"/>
      <c r="X398" s="54"/>
    </row>
    <row r="399" spans="2:27" s="11" customFormat="1" x14ac:dyDescent="0.3"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Q399" s="53"/>
      <c r="R399" s="53"/>
      <c r="S399" s="53"/>
      <c r="X399" s="54"/>
    </row>
    <row r="400" spans="2:27" s="11" customFormat="1" x14ac:dyDescent="0.3"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Q400" s="53"/>
      <c r="R400" s="53"/>
      <c r="S400" s="53"/>
      <c r="X400" s="54"/>
    </row>
    <row r="401" spans="2:26" s="11" customFormat="1" x14ac:dyDescent="0.3"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Q401" s="53"/>
      <c r="R401" s="53"/>
      <c r="S401" s="53"/>
      <c r="X401" s="54"/>
    </row>
    <row r="402" spans="2:26" s="11" customFormat="1" x14ac:dyDescent="0.3"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Q402" s="53"/>
      <c r="R402" s="53"/>
      <c r="S402" s="53"/>
      <c r="X402" s="54"/>
    </row>
    <row r="403" spans="2:26" s="11" customFormat="1" x14ac:dyDescent="0.3">
      <c r="B403" s="34"/>
    </row>
    <row r="404" spans="2:26" s="11" customFormat="1" x14ac:dyDescent="0.3">
      <c r="B404" s="34"/>
      <c r="Y404" s="70"/>
      <c r="Z404" s="61"/>
    </row>
    <row r="405" spans="2:26" s="11" customFormat="1" x14ac:dyDescent="0.3"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Q405" s="53"/>
      <c r="R405" s="53"/>
      <c r="S405" s="53"/>
      <c r="X405" s="73"/>
      <c r="Y405" s="54"/>
      <c r="Z405" s="54"/>
    </row>
    <row r="406" spans="2:26" s="11" customFormat="1" x14ac:dyDescent="0.3"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Q406" s="53"/>
      <c r="R406" s="53"/>
      <c r="S406" s="53"/>
      <c r="X406" s="73"/>
      <c r="Y406" s="54"/>
      <c r="Z406" s="54"/>
    </row>
    <row r="407" spans="2:26" s="11" customFormat="1" x14ac:dyDescent="0.3"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Q407" s="53"/>
      <c r="R407" s="53"/>
      <c r="S407" s="53"/>
      <c r="X407" s="73"/>
      <c r="Y407" s="54"/>
      <c r="Z407" s="54"/>
    </row>
    <row r="408" spans="2:26" s="11" customFormat="1" x14ac:dyDescent="0.3"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Q408" s="53"/>
      <c r="R408" s="53"/>
      <c r="S408" s="53"/>
      <c r="X408" s="73"/>
      <c r="Y408" s="54"/>
      <c r="Z408" s="54"/>
    </row>
    <row r="409" spans="2:26" s="11" customFormat="1" x14ac:dyDescent="0.3"/>
    <row r="410" spans="2:26" s="11" customFormat="1" x14ac:dyDescent="0.3"/>
    <row r="411" spans="2:26" s="11" customFormat="1" x14ac:dyDescent="0.3"/>
    <row r="412" spans="2:26" s="11" customFormat="1" x14ac:dyDescent="0.3"/>
    <row r="413" spans="2:26" s="11" customFormat="1" x14ac:dyDescent="0.3"/>
    <row r="414" spans="2:26" s="11" customFormat="1" x14ac:dyDescent="0.3"/>
    <row r="415" spans="2:26" s="11" customFormat="1" x14ac:dyDescent="0.3"/>
    <row r="416" spans="2:26" s="11" customFormat="1" x14ac:dyDescent="0.3"/>
    <row r="417" s="11" customFormat="1" x14ac:dyDescent="0.3"/>
    <row r="418" s="11" customFormat="1" x14ac:dyDescent="0.3"/>
    <row r="419" s="11" customFormat="1" x14ac:dyDescent="0.3"/>
    <row r="420" s="11" customFormat="1" x14ac:dyDescent="0.3"/>
    <row r="421" s="11" customFormat="1" x14ac:dyDescent="0.3"/>
    <row r="422" s="11" customFormat="1" x14ac:dyDescent="0.3"/>
    <row r="423" s="11" customFormat="1" x14ac:dyDescent="0.3"/>
    <row r="424" s="11" customFormat="1" x14ac:dyDescent="0.3"/>
    <row r="425" s="11" customFormat="1" x14ac:dyDescent="0.3"/>
    <row r="426" s="11" customFormat="1" x14ac:dyDescent="0.3"/>
    <row r="427" s="11" customFormat="1" x14ac:dyDescent="0.3"/>
    <row r="428" s="11" customFormat="1" x14ac:dyDescent="0.3"/>
    <row r="429" s="11" customFormat="1" x14ac:dyDescent="0.3"/>
    <row r="430" s="11" customFormat="1" x14ac:dyDescent="0.3"/>
    <row r="431" s="11" customFormat="1" x14ac:dyDescent="0.3"/>
    <row r="432" s="11" customFormat="1" x14ac:dyDescent="0.3"/>
    <row r="433" s="11" customFormat="1" x14ac:dyDescent="0.3"/>
    <row r="434" s="11" customFormat="1" x14ac:dyDescent="0.3"/>
    <row r="435" s="11" customFormat="1" x14ac:dyDescent="0.3"/>
    <row r="436" s="11" customFormat="1" x14ac:dyDescent="0.3"/>
    <row r="437" s="11" customFormat="1" x14ac:dyDescent="0.3"/>
    <row r="438" s="11" customFormat="1" x14ac:dyDescent="0.3"/>
    <row r="439" s="11" customFormat="1" x14ac:dyDescent="0.3"/>
    <row r="440" s="11" customFormat="1" x14ac:dyDescent="0.3"/>
    <row r="441" s="11" customFormat="1" x14ac:dyDescent="0.3"/>
    <row r="442" s="11" customFormat="1" x14ac:dyDescent="0.3"/>
    <row r="443" s="11" customFormat="1" x14ac:dyDescent="0.3"/>
    <row r="444" s="11" customFormat="1" x14ac:dyDescent="0.3"/>
    <row r="445" s="11" customFormat="1" x14ac:dyDescent="0.3"/>
    <row r="446" s="11" customFormat="1" x14ac:dyDescent="0.3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425"/>
  <sheetViews>
    <sheetView topLeftCell="A196" zoomScale="85" zoomScaleNormal="85" workbookViewId="0">
      <selection activeCell="V212" sqref="V212:V215"/>
    </sheetView>
  </sheetViews>
  <sheetFormatPr defaultColWidth="9.109375" defaultRowHeight="14.4" x14ac:dyDescent="0.3"/>
  <cols>
    <col min="1" max="1" width="10" style="3" bestFit="1" customWidth="1"/>
    <col min="2" max="2" width="43.109375" style="3" customWidth="1"/>
    <col min="3" max="3" width="10.109375" style="3" bestFit="1" customWidth="1"/>
    <col min="4" max="4" width="10.109375" style="3" customWidth="1"/>
    <col min="5" max="5" width="9.5546875" style="3" bestFit="1" customWidth="1"/>
    <col min="6" max="6" width="11.109375" style="3" bestFit="1" customWidth="1"/>
    <col min="7" max="7" width="10.109375" style="3" bestFit="1" customWidth="1"/>
    <col min="8" max="8" width="9.44140625" style="3" bestFit="1" customWidth="1"/>
    <col min="9" max="10" width="11.109375" style="3" bestFit="1" customWidth="1"/>
    <col min="11" max="11" width="9.44140625" style="3" bestFit="1" customWidth="1"/>
    <col min="12" max="12" width="10.109375" style="3" bestFit="1" customWidth="1"/>
    <col min="13" max="13" width="11.109375" style="3" bestFit="1" customWidth="1"/>
    <col min="14" max="14" width="9.44140625" style="3" bestFit="1" customWidth="1"/>
    <col min="15" max="15" width="9.44140625" style="3" customWidth="1"/>
    <col min="16" max="16" width="1.5546875" style="11" customWidth="1"/>
    <col min="17" max="19" width="9.44140625" style="3" bestFit="1" customWidth="1"/>
    <col min="20" max="20" width="10" style="3" bestFit="1" customWidth="1"/>
    <col min="21" max="21" width="10.88671875" style="3" bestFit="1" customWidth="1"/>
    <col min="22" max="22" width="9.5546875" style="3" bestFit="1" customWidth="1"/>
    <col min="23" max="23" width="9.6640625" style="3" customWidth="1"/>
    <col min="24" max="24" width="12.33203125" style="3" bestFit="1" customWidth="1"/>
    <col min="25" max="28" width="10" style="39" bestFit="1" customWidth="1"/>
    <col min="29" max="29" width="9.33203125" style="39" bestFit="1" customWidth="1"/>
    <col min="30" max="30" width="10" style="39" bestFit="1" customWidth="1"/>
    <col min="31" max="31" width="9.33203125" style="39" bestFit="1" customWidth="1"/>
    <col min="32" max="32" width="10" style="39" bestFit="1" customWidth="1"/>
    <col min="33" max="36" width="9.33203125" style="39" bestFit="1" customWidth="1"/>
    <col min="37" max="41" width="9.109375" style="39"/>
    <col min="42" max="16384" width="9.109375" style="3"/>
  </cols>
  <sheetData>
    <row r="2" spans="2:41" s="9" customFormat="1" ht="21" x14ac:dyDescent="0.35">
      <c r="B2" s="10" t="s">
        <v>11</v>
      </c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</row>
    <row r="3" spans="2:41" ht="30" x14ac:dyDescent="0.25">
      <c r="B3" s="43" t="s">
        <v>31</v>
      </c>
      <c r="C3" s="43" t="s">
        <v>0</v>
      </c>
      <c r="D3" s="43" t="s">
        <v>1</v>
      </c>
      <c r="E3" s="43" t="s">
        <v>28</v>
      </c>
      <c r="F3" s="2" t="s">
        <v>29</v>
      </c>
      <c r="G3" s="2" t="s">
        <v>6</v>
      </c>
      <c r="H3" s="43" t="s">
        <v>2</v>
      </c>
      <c r="I3" s="43" t="s">
        <v>3</v>
      </c>
      <c r="J3" s="43" t="s">
        <v>4</v>
      </c>
      <c r="K3" s="43" t="s">
        <v>9</v>
      </c>
      <c r="L3" s="43" t="s">
        <v>8</v>
      </c>
      <c r="M3" s="43" t="s">
        <v>25</v>
      </c>
      <c r="N3" s="43" t="s">
        <v>7</v>
      </c>
      <c r="O3" s="43" t="s">
        <v>89</v>
      </c>
      <c r="P3" s="25"/>
      <c r="Q3" s="43" t="s">
        <v>5</v>
      </c>
      <c r="R3" s="43" t="s">
        <v>91</v>
      </c>
      <c r="T3" s="43" t="s">
        <v>10</v>
      </c>
    </row>
    <row r="4" spans="2:41" ht="15" x14ac:dyDescent="0.25">
      <c r="B4" s="3">
        <v>2016</v>
      </c>
      <c r="C4" s="74">
        <f>'HC-BC'!C4</f>
        <v>36060</v>
      </c>
      <c r="D4" s="74">
        <f>'HC-BC'!D4</f>
        <v>1860</v>
      </c>
      <c r="E4" s="74">
        <f>'HC-BC'!E4</f>
        <v>424.6</v>
      </c>
      <c r="F4" s="74">
        <f>'HC-BC'!F4</f>
        <v>3419</v>
      </c>
      <c r="G4" s="74">
        <f>'HC-BC'!G4</f>
        <v>2179</v>
      </c>
      <c r="H4" s="74">
        <f>'HC-BC'!H4</f>
        <v>1306</v>
      </c>
      <c r="I4" s="74">
        <f>'HC-BC'!I4</f>
        <v>200</v>
      </c>
      <c r="J4" s="74">
        <f>'HC-BC'!J4</f>
        <v>1479</v>
      </c>
      <c r="K4" s="74">
        <f>'HC-BC'!K4</f>
        <v>0</v>
      </c>
      <c r="L4" s="74">
        <f>'HC-BC'!L4</f>
        <v>264</v>
      </c>
      <c r="M4" s="74">
        <f>'HC-BC'!M4</f>
        <v>0</v>
      </c>
      <c r="N4" s="74">
        <f>'HC-BC'!N4</f>
        <v>1580</v>
      </c>
      <c r="O4" s="74">
        <f>'HC-BC'!P4</f>
        <v>0</v>
      </c>
      <c r="P4" s="89"/>
      <c r="Q4" s="39">
        <f>G4+N4</f>
        <v>3759</v>
      </c>
      <c r="R4" s="5">
        <f>SUM(K4:L4)</f>
        <v>264</v>
      </c>
      <c r="T4" s="5">
        <f>SUM(C4:O4)</f>
        <v>48771.6</v>
      </c>
    </row>
    <row r="5" spans="2:41" ht="15" x14ac:dyDescent="0.25">
      <c r="B5" s="3">
        <v>2030</v>
      </c>
      <c r="C5" s="74">
        <f>'HC-BC'!C5</f>
        <v>23080</v>
      </c>
      <c r="D5" s="74">
        <f>'HC-BC'!D5</f>
        <v>1860</v>
      </c>
      <c r="E5" s="74">
        <f>'HC-BC'!E5</f>
        <v>424.6</v>
      </c>
      <c r="F5" s="74">
        <f>'HC-BC'!F5</f>
        <v>3077</v>
      </c>
      <c r="G5" s="74">
        <f>'HC-BC'!G5</f>
        <v>2179</v>
      </c>
      <c r="H5" s="74">
        <f>'HC-BC'!H5</f>
        <v>1306</v>
      </c>
      <c r="I5" s="74">
        <f>'HC-BC'!I5</f>
        <v>200</v>
      </c>
      <c r="J5" s="74">
        <f>'HC-BC'!J5</f>
        <v>1479</v>
      </c>
      <c r="K5" s="74">
        <f>'HC-BC'!K5</f>
        <v>0</v>
      </c>
      <c r="L5" s="74">
        <f>'HC-BC'!L5</f>
        <v>264</v>
      </c>
      <c r="M5" s="74">
        <f>'HC-BC'!M5</f>
        <v>0</v>
      </c>
      <c r="N5" s="74">
        <f>'HC-BC'!N5</f>
        <v>1580</v>
      </c>
      <c r="O5" s="74">
        <f>'HC-BC'!P5</f>
        <v>0</v>
      </c>
      <c r="P5" s="89"/>
      <c r="Q5" s="39">
        <f>G5+N5</f>
        <v>3759</v>
      </c>
      <c r="R5" s="5">
        <f>SUM(K5:L5)</f>
        <v>264</v>
      </c>
      <c r="T5" s="5">
        <f t="shared" ref="T5:T7" si="0">SUM(C5:O5)</f>
        <v>35449.599999999999</v>
      </c>
    </row>
    <row r="6" spans="2:41" ht="15" x14ac:dyDescent="0.25">
      <c r="B6" s="3">
        <v>2040</v>
      </c>
      <c r="C6" s="74">
        <f>'HC-BC'!C6</f>
        <v>7660</v>
      </c>
      <c r="D6" s="74">
        <f>'HC-BC'!D6</f>
        <v>1860</v>
      </c>
      <c r="E6" s="74">
        <f>'HC-BC'!E6</f>
        <v>424.6</v>
      </c>
      <c r="F6" s="74">
        <f>'HC-BC'!F6</f>
        <v>1005</v>
      </c>
      <c r="G6" s="74">
        <f>'HC-BC'!G6</f>
        <v>2179</v>
      </c>
      <c r="H6" s="74">
        <f>'HC-BC'!H6</f>
        <v>0</v>
      </c>
      <c r="I6" s="74">
        <f>'HC-BC'!I6</f>
        <v>200</v>
      </c>
      <c r="J6" s="74">
        <f>'HC-BC'!J6</f>
        <v>435</v>
      </c>
      <c r="K6" s="74">
        <f>'HC-BC'!K6</f>
        <v>0</v>
      </c>
      <c r="L6" s="74">
        <f>'HC-BC'!L6</f>
        <v>264</v>
      </c>
      <c r="M6" s="74">
        <f>'HC-BC'!M6</f>
        <v>0</v>
      </c>
      <c r="N6" s="74">
        <f>'HC-BC'!N6</f>
        <v>1580</v>
      </c>
      <c r="O6" s="74">
        <f>'HC-BC'!P6</f>
        <v>0</v>
      </c>
      <c r="P6" s="89"/>
      <c r="Q6" s="39">
        <f>G6+N6</f>
        <v>3759</v>
      </c>
      <c r="R6" s="5">
        <f>SUM(K6:L6)</f>
        <v>264</v>
      </c>
      <c r="T6" s="5">
        <f t="shared" si="0"/>
        <v>15607.6</v>
      </c>
    </row>
    <row r="7" spans="2:41" ht="15" x14ac:dyDescent="0.25">
      <c r="B7" s="3">
        <v>2050</v>
      </c>
      <c r="C7" s="74">
        <f>'HC-BC'!C7</f>
        <v>670</v>
      </c>
      <c r="D7" s="74">
        <f>'HC-BC'!D7</f>
        <v>0</v>
      </c>
      <c r="E7" s="74">
        <f>'HC-BC'!E7</f>
        <v>424.6</v>
      </c>
      <c r="F7" s="74">
        <f>'HC-BC'!F7</f>
        <v>0</v>
      </c>
      <c r="G7" s="74">
        <f>'HC-BC'!G7</f>
        <v>2179</v>
      </c>
      <c r="H7" s="74">
        <f>'HC-BC'!H7</f>
        <v>0</v>
      </c>
      <c r="I7" s="74">
        <f>'HC-BC'!I7</f>
        <v>0</v>
      </c>
      <c r="J7" s="74">
        <f>'HC-BC'!J7</f>
        <v>0</v>
      </c>
      <c r="K7" s="74">
        <f>'HC-BC'!K7</f>
        <v>0</v>
      </c>
      <c r="L7" s="74">
        <f>'HC-BC'!L7</f>
        <v>264</v>
      </c>
      <c r="M7" s="74">
        <f>'HC-BC'!M7</f>
        <v>0</v>
      </c>
      <c r="N7" s="74">
        <f>'HC-BC'!N7</f>
        <v>1580</v>
      </c>
      <c r="O7" s="74">
        <f>'HC-BC'!P7</f>
        <v>0</v>
      </c>
      <c r="P7" s="89"/>
      <c r="Q7" s="39">
        <f>G7+N7</f>
        <v>3759</v>
      </c>
      <c r="R7" s="5">
        <f>SUM(K7:L7)</f>
        <v>264</v>
      </c>
      <c r="T7" s="5">
        <f t="shared" si="0"/>
        <v>5117.6000000000004</v>
      </c>
    </row>
    <row r="9" spans="2:41" ht="30" x14ac:dyDescent="0.25">
      <c r="B9" s="43" t="s">
        <v>30</v>
      </c>
      <c r="C9" s="43" t="s">
        <v>0</v>
      </c>
      <c r="D9" s="43" t="s">
        <v>1</v>
      </c>
      <c r="E9" s="43" t="s">
        <v>28</v>
      </c>
      <c r="F9" s="2" t="s">
        <v>29</v>
      </c>
      <c r="G9" s="2" t="s">
        <v>6</v>
      </c>
      <c r="H9" s="43" t="s">
        <v>2</v>
      </c>
      <c r="I9" s="43" t="s">
        <v>3</v>
      </c>
      <c r="J9" s="43" t="s">
        <v>4</v>
      </c>
      <c r="K9" s="43" t="s">
        <v>9</v>
      </c>
      <c r="L9" s="43" t="s">
        <v>8</v>
      </c>
      <c r="M9" s="43" t="s">
        <v>25</v>
      </c>
      <c r="N9" s="43" t="s">
        <v>7</v>
      </c>
      <c r="O9" s="43" t="s">
        <v>89</v>
      </c>
      <c r="P9" s="25"/>
      <c r="Q9" s="43" t="s">
        <v>5</v>
      </c>
      <c r="R9" s="43" t="s">
        <v>91</v>
      </c>
      <c r="T9" s="43" t="s">
        <v>10</v>
      </c>
    </row>
    <row r="10" spans="2:41" ht="15" x14ac:dyDescent="0.25">
      <c r="B10" s="3">
        <v>2016</v>
      </c>
      <c r="C10" s="74">
        <f>'HC-BC'!C10</f>
        <v>722</v>
      </c>
      <c r="D10" s="74">
        <f>'HC-BC'!D10</f>
        <v>0</v>
      </c>
      <c r="E10" s="74">
        <f>'HC-BC'!E10</f>
        <v>0</v>
      </c>
      <c r="F10" s="74">
        <f>'HC-BC'!F10</f>
        <v>0</v>
      </c>
      <c r="G10" s="74">
        <f>'HC-BC'!G10</f>
        <v>0</v>
      </c>
      <c r="H10" s="74">
        <f>'HC-BC'!H10</f>
        <v>154</v>
      </c>
      <c r="I10" s="74">
        <f>'HC-BC'!I10</f>
        <v>0</v>
      </c>
      <c r="J10" s="74">
        <f>'HC-BC'!J10</f>
        <v>0</v>
      </c>
      <c r="K10" s="74">
        <f>'HC-BC'!K10</f>
        <v>0</v>
      </c>
      <c r="L10" s="74">
        <f>'HC-BC'!L10</f>
        <v>0</v>
      </c>
      <c r="M10" s="74">
        <f>'HC-BC'!M10</f>
        <v>0</v>
      </c>
      <c r="N10" s="74">
        <f>'HC-BC'!N10</f>
        <v>0</v>
      </c>
      <c r="O10" s="74">
        <f>'HC-BC'!P10</f>
        <v>0</v>
      </c>
      <c r="P10" s="89"/>
      <c r="Q10" s="39">
        <f>G10+N10</f>
        <v>0</v>
      </c>
      <c r="R10" s="5">
        <f>SUM(K10:L10)</f>
        <v>0</v>
      </c>
      <c r="T10" s="5">
        <f>SUM(C10:O10)</f>
        <v>876</v>
      </c>
    </row>
    <row r="11" spans="2:41" ht="15" x14ac:dyDescent="0.25">
      <c r="B11" s="3">
        <v>2030</v>
      </c>
      <c r="C11" s="74">
        <f>'HC-BC'!C11</f>
        <v>9536</v>
      </c>
      <c r="D11" s="74">
        <f>'HC-BC'!D11</f>
        <v>0</v>
      </c>
      <c r="E11" s="74">
        <f>'HC-BC'!E11</f>
        <v>0</v>
      </c>
      <c r="F11" s="74">
        <f>'HC-BC'!F11</f>
        <v>0</v>
      </c>
      <c r="G11" s="74">
        <f>'HC-BC'!G11</f>
        <v>45</v>
      </c>
      <c r="H11" s="74">
        <f>'HC-BC'!H11</f>
        <v>2800</v>
      </c>
      <c r="I11" s="74">
        <f>'HC-BC'!I11</f>
        <v>850</v>
      </c>
      <c r="J11" s="74">
        <f>'HC-BC'!J11</f>
        <v>1332</v>
      </c>
      <c r="K11" s="74">
        <f>'HC-BC'!K11</f>
        <v>53</v>
      </c>
      <c r="L11" s="74">
        <f>'HC-BC'!L11</f>
        <v>153</v>
      </c>
      <c r="M11" s="74">
        <f>'HC-BC'!M11</f>
        <v>0</v>
      </c>
      <c r="N11" s="74">
        <f>'HC-BC'!N11</f>
        <v>1332</v>
      </c>
      <c r="O11" s="74">
        <f>'HC-BC'!P11</f>
        <v>0</v>
      </c>
      <c r="P11" s="89"/>
      <c r="Q11" s="39">
        <f>G11+N11</f>
        <v>1377</v>
      </c>
      <c r="R11" s="5">
        <f>SUM(K11:L11)</f>
        <v>206</v>
      </c>
      <c r="T11" s="5">
        <f t="shared" ref="T11:T13" si="1">SUM(C11:O11)</f>
        <v>16101</v>
      </c>
    </row>
    <row r="12" spans="2:41" ht="15" x14ac:dyDescent="0.25">
      <c r="B12" s="3">
        <v>2040</v>
      </c>
      <c r="C12" s="74">
        <f>'HC-BC'!C12</f>
        <v>9536</v>
      </c>
      <c r="D12" s="74">
        <f>'HC-BC'!D12</f>
        <v>0</v>
      </c>
      <c r="E12" s="74">
        <f>'HC-BC'!E12</f>
        <v>0</v>
      </c>
      <c r="F12" s="74">
        <f>'HC-BC'!F12</f>
        <v>0</v>
      </c>
      <c r="G12" s="74">
        <f>'HC-BC'!G12</f>
        <v>45</v>
      </c>
      <c r="H12" s="74">
        <f>'HC-BC'!H12</f>
        <v>0</v>
      </c>
      <c r="I12" s="74">
        <f>'HC-BC'!I12</f>
        <v>850</v>
      </c>
      <c r="J12" s="74">
        <f>'HC-BC'!J12</f>
        <v>1332</v>
      </c>
      <c r="K12" s="74">
        <f>'HC-BC'!K12</f>
        <v>53</v>
      </c>
      <c r="L12" s="74">
        <f>'HC-BC'!L12</f>
        <v>153</v>
      </c>
      <c r="M12" s="74">
        <f>'HC-BC'!M12</f>
        <v>0</v>
      </c>
      <c r="N12" s="74">
        <f>'HC-BC'!N12</f>
        <v>1332</v>
      </c>
      <c r="O12" s="74">
        <f>'HC-BC'!P12</f>
        <v>0</v>
      </c>
      <c r="P12" s="89"/>
      <c r="Q12" s="39">
        <f>G12+N12</f>
        <v>1377</v>
      </c>
      <c r="R12" s="5">
        <f>SUM(K12:L12)</f>
        <v>206</v>
      </c>
      <c r="T12" s="5">
        <f t="shared" si="1"/>
        <v>13301</v>
      </c>
    </row>
    <row r="13" spans="2:41" ht="15" x14ac:dyDescent="0.25">
      <c r="B13" s="3">
        <v>2050</v>
      </c>
      <c r="C13" s="74">
        <f>'HC-BC'!C13</f>
        <v>9536</v>
      </c>
      <c r="D13" s="74">
        <f>'HC-BC'!D13</f>
        <v>0</v>
      </c>
      <c r="E13" s="74">
        <f>'HC-BC'!E13</f>
        <v>0</v>
      </c>
      <c r="F13" s="74">
        <f>'HC-BC'!F13</f>
        <v>0</v>
      </c>
      <c r="G13" s="74">
        <f>'HC-BC'!G13</f>
        <v>45</v>
      </c>
      <c r="H13" s="74">
        <f>'HC-BC'!H13</f>
        <v>0</v>
      </c>
      <c r="I13" s="74">
        <f>'HC-BC'!I13</f>
        <v>0</v>
      </c>
      <c r="J13" s="74">
        <f>'HC-BC'!J13</f>
        <v>0</v>
      </c>
      <c r="K13" s="74">
        <f>'HC-BC'!K13</f>
        <v>0</v>
      </c>
      <c r="L13" s="74">
        <f>'HC-BC'!L13</f>
        <v>0</v>
      </c>
      <c r="M13" s="74">
        <f>'HC-BC'!M13</f>
        <v>0</v>
      </c>
      <c r="N13" s="74">
        <f>'HC-BC'!N13</f>
        <v>1332</v>
      </c>
      <c r="O13" s="74">
        <f>'HC-BC'!P13</f>
        <v>0</v>
      </c>
      <c r="P13" s="89"/>
      <c r="Q13" s="39">
        <f>G13+N13</f>
        <v>1377</v>
      </c>
      <c r="R13" s="5">
        <f>SUM(K13:L13)</f>
        <v>0</v>
      </c>
      <c r="T13" s="5">
        <f t="shared" si="1"/>
        <v>10913</v>
      </c>
    </row>
    <row r="15" spans="2:41" ht="30" x14ac:dyDescent="0.25">
      <c r="B15" s="43" t="s">
        <v>32</v>
      </c>
      <c r="C15" s="43" t="s">
        <v>0</v>
      </c>
      <c r="D15" s="43" t="s">
        <v>1</v>
      </c>
      <c r="E15" s="43" t="s">
        <v>28</v>
      </c>
      <c r="F15" s="2" t="s">
        <v>29</v>
      </c>
      <c r="G15" s="2" t="s">
        <v>6</v>
      </c>
      <c r="H15" s="43" t="s">
        <v>2</v>
      </c>
      <c r="I15" s="43" t="s">
        <v>3</v>
      </c>
      <c r="J15" s="43" t="s">
        <v>4</v>
      </c>
      <c r="K15" s="43" t="s">
        <v>9</v>
      </c>
      <c r="L15" s="43" t="s">
        <v>8</v>
      </c>
      <c r="M15" s="43" t="s">
        <v>25</v>
      </c>
      <c r="N15" s="43" t="s">
        <v>7</v>
      </c>
      <c r="O15" s="43" t="s">
        <v>89</v>
      </c>
      <c r="P15" s="25"/>
      <c r="Q15" s="43" t="s">
        <v>5</v>
      </c>
      <c r="R15" s="43" t="s">
        <v>91</v>
      </c>
      <c r="T15" s="43" t="s">
        <v>10</v>
      </c>
    </row>
    <row r="16" spans="2:41" ht="15" x14ac:dyDescent="0.25">
      <c r="B16" s="3">
        <v>2016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89"/>
      <c r="Q16" s="39">
        <f>G16+N16</f>
        <v>0</v>
      </c>
      <c r="R16" s="5">
        <f>SUM(K16:L16)</f>
        <v>0</v>
      </c>
      <c r="T16" s="5">
        <f>SUM(C16:O16)</f>
        <v>0</v>
      </c>
    </row>
    <row r="17" spans="1:41" ht="15" x14ac:dyDescent="0.25">
      <c r="B17" s="3">
        <v>2030</v>
      </c>
      <c r="C17" s="44">
        <v>0</v>
      </c>
      <c r="D17" s="44">
        <v>5436</v>
      </c>
      <c r="E17" s="44">
        <v>3660</v>
      </c>
      <c r="F17" s="44">
        <v>6732</v>
      </c>
      <c r="G17" s="44">
        <v>2500</v>
      </c>
      <c r="H17" s="44">
        <v>15500</v>
      </c>
      <c r="I17" s="44">
        <v>0</v>
      </c>
      <c r="J17" s="44">
        <v>9880</v>
      </c>
      <c r="K17" s="44">
        <v>25</v>
      </c>
      <c r="L17" s="44">
        <v>11</v>
      </c>
      <c r="M17" s="44">
        <v>1000</v>
      </c>
      <c r="N17" s="44">
        <v>0</v>
      </c>
      <c r="O17" s="44">
        <v>0</v>
      </c>
      <c r="P17" s="89"/>
      <c r="Q17" s="39">
        <f>G17+N17</f>
        <v>2500</v>
      </c>
      <c r="R17" s="5">
        <f>SUM(K17:L17)</f>
        <v>36</v>
      </c>
      <c r="T17" s="5">
        <f t="shared" ref="T17:T19" si="2">SUM(C17:O17)</f>
        <v>44744</v>
      </c>
    </row>
    <row r="18" spans="1:41" ht="15" x14ac:dyDescent="0.25">
      <c r="B18" s="3">
        <v>2040</v>
      </c>
      <c r="C18" s="44">
        <v>0</v>
      </c>
      <c r="D18" s="44">
        <v>14949</v>
      </c>
      <c r="E18" s="44">
        <v>19032</v>
      </c>
      <c r="F18" s="44">
        <v>7260</v>
      </c>
      <c r="G18" s="44">
        <v>2500</v>
      </c>
      <c r="H18" s="44">
        <v>33500</v>
      </c>
      <c r="I18" s="44">
        <v>0</v>
      </c>
      <c r="J18" s="44">
        <v>19880</v>
      </c>
      <c r="K18" s="44">
        <v>25</v>
      </c>
      <c r="L18" s="44">
        <v>11</v>
      </c>
      <c r="M18" s="44">
        <v>1000</v>
      </c>
      <c r="N18" s="44">
        <v>0</v>
      </c>
      <c r="O18" s="44">
        <v>0</v>
      </c>
      <c r="P18" s="89"/>
      <c r="Q18" s="39">
        <f>G18+N18</f>
        <v>2500</v>
      </c>
      <c r="R18" s="5">
        <f>SUM(K18:L18)</f>
        <v>36</v>
      </c>
      <c r="T18" s="5">
        <f t="shared" si="2"/>
        <v>98157</v>
      </c>
    </row>
    <row r="19" spans="1:41" ht="15" x14ac:dyDescent="0.25">
      <c r="B19" s="3">
        <v>2050</v>
      </c>
      <c r="C19" s="44">
        <v>0</v>
      </c>
      <c r="D19" s="44">
        <v>25821</v>
      </c>
      <c r="E19" s="44">
        <v>32940</v>
      </c>
      <c r="F19" s="44">
        <v>10296</v>
      </c>
      <c r="G19" s="44">
        <v>2500</v>
      </c>
      <c r="H19" s="44">
        <v>36000</v>
      </c>
      <c r="I19" s="44">
        <v>0</v>
      </c>
      <c r="J19" s="44">
        <v>24930</v>
      </c>
      <c r="K19" s="44">
        <v>0</v>
      </c>
      <c r="L19" s="44">
        <v>0</v>
      </c>
      <c r="M19" s="44">
        <v>1000</v>
      </c>
      <c r="N19" s="44">
        <v>0</v>
      </c>
      <c r="O19" s="44">
        <v>0</v>
      </c>
      <c r="P19" s="89"/>
      <c r="Q19" s="39">
        <f>G19+N19</f>
        <v>2500</v>
      </c>
      <c r="R19" s="5">
        <f>SUM(K19:L19)</f>
        <v>0</v>
      </c>
      <c r="T19" s="5">
        <f t="shared" si="2"/>
        <v>133487</v>
      </c>
    </row>
    <row r="21" spans="1:41" ht="30" x14ac:dyDescent="0.25">
      <c r="B21" s="43" t="s">
        <v>33</v>
      </c>
      <c r="C21" s="43" t="s">
        <v>0</v>
      </c>
      <c r="D21" s="43" t="s">
        <v>1</v>
      </c>
      <c r="E21" s="43" t="s">
        <v>28</v>
      </c>
      <c r="F21" s="2" t="s">
        <v>29</v>
      </c>
      <c r="G21" s="2" t="s">
        <v>6</v>
      </c>
      <c r="H21" s="43" t="s">
        <v>2</v>
      </c>
      <c r="I21" s="43" t="s">
        <v>3</v>
      </c>
      <c r="J21" s="43" t="s">
        <v>4</v>
      </c>
      <c r="K21" s="43" t="s">
        <v>9</v>
      </c>
      <c r="L21" s="43" t="s">
        <v>8</v>
      </c>
      <c r="M21" s="43" t="s">
        <v>25</v>
      </c>
      <c r="N21" s="43" t="s">
        <v>7</v>
      </c>
      <c r="O21" s="43" t="s">
        <v>89</v>
      </c>
      <c r="P21" s="25"/>
      <c r="Q21" s="43" t="s">
        <v>5</v>
      </c>
      <c r="R21" s="43" t="s">
        <v>91</v>
      </c>
      <c r="T21" s="43" t="s">
        <v>10</v>
      </c>
      <c r="V21" s="25"/>
      <c r="W21" s="25"/>
    </row>
    <row r="22" spans="1:41" ht="15" x14ac:dyDescent="0.25">
      <c r="A22" s="39">
        <f>C22-C16</f>
        <v>36782</v>
      </c>
      <c r="B22" s="3">
        <v>2016</v>
      </c>
      <c r="C22" s="50">
        <f t="shared" ref="C22:O25" si="3">C4+C10+C16</f>
        <v>36782</v>
      </c>
      <c r="D22" s="50">
        <f t="shared" si="3"/>
        <v>1860</v>
      </c>
      <c r="E22" s="50">
        <f t="shared" si="3"/>
        <v>424.6</v>
      </c>
      <c r="F22" s="50">
        <f t="shared" si="3"/>
        <v>3419</v>
      </c>
      <c r="G22" s="50">
        <f t="shared" si="3"/>
        <v>2179</v>
      </c>
      <c r="H22" s="50">
        <f t="shared" si="3"/>
        <v>1460</v>
      </c>
      <c r="I22" s="50">
        <f t="shared" si="3"/>
        <v>200</v>
      </c>
      <c r="J22" s="50">
        <f t="shared" si="3"/>
        <v>1479</v>
      </c>
      <c r="K22" s="50">
        <f t="shared" si="3"/>
        <v>0</v>
      </c>
      <c r="L22" s="50">
        <f t="shared" si="3"/>
        <v>264</v>
      </c>
      <c r="M22" s="50">
        <f t="shared" si="3"/>
        <v>0</v>
      </c>
      <c r="N22" s="50">
        <f t="shared" si="3"/>
        <v>1580</v>
      </c>
      <c r="O22" s="50">
        <f t="shared" si="3"/>
        <v>0</v>
      </c>
      <c r="P22" s="56"/>
      <c r="Q22" s="39">
        <f>G22+N22</f>
        <v>3759</v>
      </c>
      <c r="R22" s="5">
        <f>SUM(K22:L22)</f>
        <v>264</v>
      </c>
      <c r="T22" s="5">
        <f>SUM(C22:O22)</f>
        <v>49647.6</v>
      </c>
      <c r="V22" s="24"/>
      <c r="W22" s="26"/>
    </row>
    <row r="23" spans="1:41" ht="15" x14ac:dyDescent="0.25">
      <c r="A23" s="39">
        <f>C23-C17</f>
        <v>32616</v>
      </c>
      <c r="B23" s="3">
        <v>2030</v>
      </c>
      <c r="C23" s="50">
        <f t="shared" ref="C23:N23" si="4">C5+C11+C17</f>
        <v>32616</v>
      </c>
      <c r="D23" s="50">
        <f t="shared" si="4"/>
        <v>7296</v>
      </c>
      <c r="E23" s="50">
        <f t="shared" si="4"/>
        <v>4084.6</v>
      </c>
      <c r="F23" s="50">
        <f t="shared" si="4"/>
        <v>9809</v>
      </c>
      <c r="G23" s="50">
        <f t="shared" si="4"/>
        <v>4724</v>
      </c>
      <c r="H23" s="50">
        <f t="shared" si="4"/>
        <v>19606</v>
      </c>
      <c r="I23" s="50">
        <f t="shared" si="4"/>
        <v>1050</v>
      </c>
      <c r="J23" s="50">
        <f t="shared" si="4"/>
        <v>12691</v>
      </c>
      <c r="K23" s="50">
        <f t="shared" si="4"/>
        <v>78</v>
      </c>
      <c r="L23" s="50">
        <f t="shared" si="4"/>
        <v>428</v>
      </c>
      <c r="M23" s="50">
        <f t="shared" si="4"/>
        <v>1000</v>
      </c>
      <c r="N23" s="50">
        <f t="shared" si="4"/>
        <v>2912</v>
      </c>
      <c r="O23" s="50">
        <f t="shared" si="3"/>
        <v>0</v>
      </c>
      <c r="P23" s="56"/>
      <c r="Q23" s="39">
        <f>G23+N23</f>
        <v>7636</v>
      </c>
      <c r="R23" s="5">
        <f>SUM(K23:L23)</f>
        <v>506</v>
      </c>
      <c r="T23" s="5">
        <f t="shared" ref="T23:T25" si="5">SUM(C23:O23)</f>
        <v>96294.6</v>
      </c>
      <c r="V23" s="24"/>
      <c r="W23" s="26"/>
    </row>
    <row r="24" spans="1:41" ht="15" x14ac:dyDescent="0.25">
      <c r="A24" s="39">
        <f>C24-C18</f>
        <v>17196</v>
      </c>
      <c r="B24" s="3">
        <v>2040</v>
      </c>
      <c r="C24" s="50">
        <f t="shared" ref="C24:N24" si="6">C6+C12+C18</f>
        <v>17196</v>
      </c>
      <c r="D24" s="50">
        <f t="shared" si="6"/>
        <v>16809</v>
      </c>
      <c r="E24" s="50">
        <f t="shared" si="6"/>
        <v>19456.599999999999</v>
      </c>
      <c r="F24" s="50">
        <f t="shared" si="6"/>
        <v>8265</v>
      </c>
      <c r="G24" s="50">
        <f t="shared" si="6"/>
        <v>4724</v>
      </c>
      <c r="H24" s="50">
        <f t="shared" si="6"/>
        <v>33500</v>
      </c>
      <c r="I24" s="50">
        <f t="shared" si="6"/>
        <v>1050</v>
      </c>
      <c r="J24" s="50">
        <f t="shared" si="6"/>
        <v>21647</v>
      </c>
      <c r="K24" s="50">
        <f t="shared" si="6"/>
        <v>78</v>
      </c>
      <c r="L24" s="50">
        <f t="shared" si="6"/>
        <v>428</v>
      </c>
      <c r="M24" s="50">
        <f t="shared" si="6"/>
        <v>1000</v>
      </c>
      <c r="N24" s="50">
        <f t="shared" si="6"/>
        <v>2912</v>
      </c>
      <c r="O24" s="50">
        <f t="shared" si="3"/>
        <v>0</v>
      </c>
      <c r="P24" s="56"/>
      <c r="Q24" s="39">
        <f>G24+N24</f>
        <v>7636</v>
      </c>
      <c r="R24" s="5">
        <f>SUM(K24:L24)</f>
        <v>506</v>
      </c>
      <c r="T24" s="5">
        <f t="shared" si="5"/>
        <v>127065.60000000001</v>
      </c>
      <c r="V24" s="24"/>
      <c r="W24" s="26"/>
    </row>
    <row r="25" spans="1:41" ht="15" x14ac:dyDescent="0.25">
      <c r="A25" s="39">
        <f>C25-C19</f>
        <v>10206</v>
      </c>
      <c r="B25" s="3">
        <v>2050</v>
      </c>
      <c r="C25" s="50">
        <f t="shared" ref="C25:N25" si="7">C7+C13+C19</f>
        <v>10206</v>
      </c>
      <c r="D25" s="50">
        <f t="shared" si="7"/>
        <v>25821</v>
      </c>
      <c r="E25" s="50">
        <f t="shared" si="7"/>
        <v>33364.6</v>
      </c>
      <c r="F25" s="50">
        <f t="shared" si="7"/>
        <v>10296</v>
      </c>
      <c r="G25" s="50">
        <f t="shared" si="7"/>
        <v>4724</v>
      </c>
      <c r="H25" s="50">
        <f t="shared" si="7"/>
        <v>36000</v>
      </c>
      <c r="I25" s="50">
        <f t="shared" si="7"/>
        <v>0</v>
      </c>
      <c r="J25" s="50">
        <f t="shared" si="7"/>
        <v>24930</v>
      </c>
      <c r="K25" s="50">
        <f t="shared" si="7"/>
        <v>0</v>
      </c>
      <c r="L25" s="50">
        <f t="shared" si="7"/>
        <v>264</v>
      </c>
      <c r="M25" s="50">
        <f t="shared" si="7"/>
        <v>1000</v>
      </c>
      <c r="N25" s="50">
        <f t="shared" si="7"/>
        <v>2912</v>
      </c>
      <c r="O25" s="50">
        <f t="shared" si="3"/>
        <v>0</v>
      </c>
      <c r="P25" s="56"/>
      <c r="Q25" s="39">
        <f>G25+N25</f>
        <v>7636</v>
      </c>
      <c r="R25" s="5">
        <f>SUM(K25:L25)</f>
        <v>264</v>
      </c>
      <c r="T25" s="5">
        <f t="shared" si="5"/>
        <v>149517.6</v>
      </c>
      <c r="V25" s="24"/>
      <c r="W25" s="26"/>
    </row>
    <row r="26" spans="1:41" ht="15" x14ac:dyDescent="0.25">
      <c r="A26" s="39"/>
      <c r="V26" s="11"/>
      <c r="W26" s="11"/>
    </row>
    <row r="27" spans="1:41" ht="15" x14ac:dyDescent="0.25">
      <c r="A27" s="39"/>
      <c r="B27" s="3">
        <v>2016</v>
      </c>
      <c r="C27" s="23">
        <f t="shared" ref="C27:O27" si="8">C22/$T22</f>
        <v>0.74086159250396799</v>
      </c>
      <c r="D27" s="23">
        <f t="shared" si="8"/>
        <v>3.74640466004399E-2</v>
      </c>
      <c r="E27" s="23">
        <f t="shared" si="8"/>
        <v>8.5522764443799904E-3</v>
      </c>
      <c r="F27" s="23">
        <f t="shared" si="8"/>
        <v>6.8865363078980654E-2</v>
      </c>
      <c r="G27" s="23">
        <f t="shared" si="8"/>
        <v>4.3889332012020721E-2</v>
      </c>
      <c r="H27" s="23">
        <f t="shared" si="8"/>
        <v>2.9407262385291535E-2</v>
      </c>
      <c r="I27" s="23">
        <f t="shared" si="8"/>
        <v>4.0283921075741826E-3</v>
      </c>
      <c r="J27" s="23">
        <f t="shared" si="8"/>
        <v>2.9789959635511083E-2</v>
      </c>
      <c r="K27" s="23">
        <f t="shared" si="8"/>
        <v>0</v>
      </c>
      <c r="L27" s="23">
        <f t="shared" si="8"/>
        <v>5.3174775819979214E-3</v>
      </c>
      <c r="M27" s="23">
        <f t="shared" si="8"/>
        <v>0</v>
      </c>
      <c r="N27" s="23">
        <f t="shared" si="8"/>
        <v>3.1824297649836047E-2</v>
      </c>
      <c r="O27" s="23">
        <f t="shared" si="8"/>
        <v>0</v>
      </c>
      <c r="P27" s="26"/>
      <c r="Q27" s="7">
        <f t="shared" ref="Q27:R30" si="9">Q22/$T22</f>
        <v>7.5713629661856768E-2</v>
      </c>
      <c r="R27" s="7">
        <f t="shared" si="9"/>
        <v>5.3174775819979214E-3</v>
      </c>
      <c r="T27" s="8">
        <f>SUM(C27:O27)</f>
        <v>1</v>
      </c>
    </row>
    <row r="28" spans="1:41" ht="15" x14ac:dyDescent="0.25">
      <c r="A28" s="39"/>
      <c r="B28" s="3">
        <v>2030</v>
      </c>
      <c r="C28" s="23">
        <f t="shared" ref="C28:O28" si="10">C23/$T23</f>
        <v>0.33871058190178888</v>
      </c>
      <c r="D28" s="23">
        <f t="shared" si="10"/>
        <v>7.576748851960545E-2</v>
      </c>
      <c r="E28" s="23">
        <f t="shared" si="10"/>
        <v>4.2417747204931529E-2</v>
      </c>
      <c r="F28" s="23">
        <f t="shared" si="10"/>
        <v>0.101864486689804</v>
      </c>
      <c r="G28" s="23">
        <f t="shared" si="10"/>
        <v>4.905778724871384E-2</v>
      </c>
      <c r="H28" s="23">
        <f t="shared" si="10"/>
        <v>0.20360435579980599</v>
      </c>
      <c r="I28" s="23">
        <f t="shared" si="10"/>
        <v>1.0904038232673482E-2</v>
      </c>
      <c r="J28" s="23">
        <f t="shared" si="10"/>
        <v>0.13179347543891348</v>
      </c>
      <c r="K28" s="23">
        <f t="shared" si="10"/>
        <v>8.100142687128873E-4</v>
      </c>
      <c r="L28" s="23">
        <f t="shared" si="10"/>
        <v>4.4446936796040479E-3</v>
      </c>
      <c r="M28" s="23">
        <f t="shared" si="10"/>
        <v>1.0384798316831888E-2</v>
      </c>
      <c r="N28" s="23">
        <f t="shared" si="10"/>
        <v>3.0240532698614458E-2</v>
      </c>
      <c r="O28" s="23">
        <f t="shared" si="10"/>
        <v>0</v>
      </c>
      <c r="P28" s="26"/>
      <c r="Q28" s="7">
        <f t="shared" si="9"/>
        <v>7.9298319947328291E-2</v>
      </c>
      <c r="R28" s="7">
        <f t="shared" si="9"/>
        <v>5.2547079483169353E-3</v>
      </c>
      <c r="T28" s="8">
        <f t="shared" ref="T28:T30" si="11">SUM(C28:O28)</f>
        <v>1</v>
      </c>
    </row>
    <row r="29" spans="1:41" ht="15" x14ac:dyDescent="0.25">
      <c r="A29" s="39"/>
      <c r="B29" s="3">
        <v>2040</v>
      </c>
      <c r="C29" s="23">
        <f t="shared" ref="C29:O29" si="12">C24/$T24</f>
        <v>0.13533167119975822</v>
      </c>
      <c r="D29" s="23">
        <f t="shared" si="12"/>
        <v>0.13228600030220611</v>
      </c>
      <c r="E29" s="23">
        <f t="shared" si="12"/>
        <v>0.15312248161579528</v>
      </c>
      <c r="F29" s="23">
        <f t="shared" si="12"/>
        <v>6.5045142036869147E-2</v>
      </c>
      <c r="G29" s="23">
        <f t="shared" si="12"/>
        <v>3.717764682179913E-2</v>
      </c>
      <c r="H29" s="23">
        <f t="shared" si="12"/>
        <v>0.26364334642893117</v>
      </c>
      <c r="I29" s="23">
        <f t="shared" si="12"/>
        <v>8.2634481716530664E-3</v>
      </c>
      <c r="J29" s="23">
        <f t="shared" si="12"/>
        <v>0.17036082149692755</v>
      </c>
      <c r="K29" s="23">
        <f t="shared" si="12"/>
        <v>6.1385614989422786E-4</v>
      </c>
      <c r="L29" s="23">
        <f t="shared" si="12"/>
        <v>3.3683388737785836E-3</v>
      </c>
      <c r="M29" s="23">
        <f t="shared" si="12"/>
        <v>7.869950639669587E-3</v>
      </c>
      <c r="N29" s="23">
        <f t="shared" si="12"/>
        <v>2.2917296262717841E-2</v>
      </c>
      <c r="O29" s="23">
        <f t="shared" si="12"/>
        <v>0</v>
      </c>
      <c r="P29" s="26"/>
      <c r="Q29" s="7">
        <f t="shared" si="9"/>
        <v>6.0094943084516968E-2</v>
      </c>
      <c r="R29" s="7">
        <f t="shared" si="9"/>
        <v>3.9821950236728111E-3</v>
      </c>
      <c r="T29" s="8">
        <f t="shared" si="11"/>
        <v>0.99999999999999989</v>
      </c>
    </row>
    <row r="30" spans="1:41" ht="15" x14ac:dyDescent="0.25">
      <c r="A30" s="39"/>
      <c r="B30" s="3">
        <v>2050</v>
      </c>
      <c r="C30" s="23">
        <f t="shared" ref="C30:O30" si="13">C25/$T25</f>
        <v>6.8259522624761232E-2</v>
      </c>
      <c r="D30" s="23">
        <f t="shared" si="13"/>
        <v>0.17269538836899467</v>
      </c>
      <c r="E30" s="23">
        <f t="shared" si="13"/>
        <v>0.22314831163689089</v>
      </c>
      <c r="F30" s="23">
        <f t="shared" si="13"/>
        <v>6.8861458450376403E-2</v>
      </c>
      <c r="G30" s="23">
        <f t="shared" si="13"/>
        <v>3.1594942668956696E-2</v>
      </c>
      <c r="H30" s="23">
        <f t="shared" si="13"/>
        <v>0.24077433024607137</v>
      </c>
      <c r="I30" s="23">
        <f t="shared" si="13"/>
        <v>0</v>
      </c>
      <c r="J30" s="23">
        <f t="shared" si="13"/>
        <v>0.16673622369540442</v>
      </c>
      <c r="K30" s="23">
        <f t="shared" si="13"/>
        <v>0</v>
      </c>
      <c r="L30" s="23">
        <f t="shared" si="13"/>
        <v>1.7656784218045233E-3</v>
      </c>
      <c r="M30" s="23">
        <f t="shared" si="13"/>
        <v>6.6881758401686484E-3</v>
      </c>
      <c r="N30" s="23">
        <f t="shared" si="13"/>
        <v>1.9475968046571104E-2</v>
      </c>
      <c r="O30" s="23">
        <f t="shared" si="13"/>
        <v>0</v>
      </c>
      <c r="P30" s="26"/>
      <c r="Q30" s="7">
        <f t="shared" si="9"/>
        <v>5.1070910715527801E-2</v>
      </c>
      <c r="R30" s="7">
        <f t="shared" si="9"/>
        <v>1.7656784218045233E-3</v>
      </c>
      <c r="T30" s="8">
        <f t="shared" si="11"/>
        <v>1</v>
      </c>
    </row>
    <row r="31" spans="1:41" ht="15" x14ac:dyDescent="0.25">
      <c r="A31" s="39"/>
    </row>
    <row r="32" spans="1:41" s="9" customFormat="1" ht="21" x14ac:dyDescent="0.35">
      <c r="A32" s="86"/>
      <c r="B32" s="10" t="s">
        <v>53</v>
      </c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</row>
    <row r="33" spans="1:36" ht="30" x14ac:dyDescent="0.25">
      <c r="A33" s="39"/>
      <c r="B33" s="43" t="s">
        <v>34</v>
      </c>
      <c r="C33" s="43" t="s">
        <v>0</v>
      </c>
      <c r="D33" s="43" t="s">
        <v>1</v>
      </c>
      <c r="E33" s="43" t="s">
        <v>28</v>
      </c>
      <c r="F33" s="2" t="s">
        <v>29</v>
      </c>
      <c r="G33" s="2" t="s">
        <v>6</v>
      </c>
      <c r="H33" s="43" t="s">
        <v>2</v>
      </c>
      <c r="I33" s="43" t="s">
        <v>3</v>
      </c>
      <c r="J33" s="43" t="s">
        <v>4</v>
      </c>
      <c r="K33" s="43" t="s">
        <v>9</v>
      </c>
      <c r="L33" s="43" t="s">
        <v>8</v>
      </c>
      <c r="M33" s="43" t="s">
        <v>25</v>
      </c>
      <c r="N33" s="43" t="s">
        <v>7</v>
      </c>
      <c r="O33" s="43" t="s">
        <v>89</v>
      </c>
      <c r="P33" s="25"/>
      <c r="Q33" s="43" t="s">
        <v>5</v>
      </c>
      <c r="R33" s="43" t="s">
        <v>91</v>
      </c>
      <c r="T33" s="43" t="s">
        <v>10</v>
      </c>
      <c r="X33" s="39"/>
    </row>
    <row r="34" spans="1:36" ht="15" x14ac:dyDescent="0.25">
      <c r="A34" s="39"/>
      <c r="B34" s="3">
        <v>2016</v>
      </c>
      <c r="C34" s="50">
        <f>'HC-BC'!C34</f>
        <v>194808.80434990322</v>
      </c>
      <c r="D34" s="50">
        <f>'HC-BC'!D34</f>
        <v>14743.87884401034</v>
      </c>
      <c r="E34" s="50">
        <f>'HC-BC'!E34</f>
        <v>756.07675598824017</v>
      </c>
      <c r="F34" s="50">
        <f>'HC-BC'!F34</f>
        <v>2024.3136712665919</v>
      </c>
      <c r="G34" s="50">
        <f>'HC-BC'!G34</f>
        <v>15799.124268819065</v>
      </c>
      <c r="H34" s="50">
        <f>'HC-BC'!H34</f>
        <v>4022.2162852660199</v>
      </c>
      <c r="I34" s="50">
        <f>'HC-BC'!I34</f>
        <v>827.66992563012559</v>
      </c>
      <c r="J34" s="50">
        <f>'HC-BC'!J34</f>
        <v>2639.0862346009021</v>
      </c>
      <c r="K34" s="50">
        <f>'HC-BC'!K34</f>
        <v>0</v>
      </c>
      <c r="L34" s="50">
        <f>'HC-BC'!L34</f>
        <v>1583.7347303540462</v>
      </c>
      <c r="M34" s="50">
        <f>'HC-BC'!M34</f>
        <v>0</v>
      </c>
      <c r="N34" s="50">
        <f>'HC-BC'!N34</f>
        <v>2994.3929759978951</v>
      </c>
      <c r="O34" s="50">
        <f>'HC-BC'!P34</f>
        <v>0</v>
      </c>
      <c r="P34" s="56"/>
      <c r="Q34" s="39">
        <f>G34+N34</f>
        <v>18793.517244816961</v>
      </c>
      <c r="R34" s="5">
        <f>SUM(K34:L34)</f>
        <v>1583.7347303540462</v>
      </c>
      <c r="T34" s="5">
        <f>SUM(C34:O34)</f>
        <v>240199.29804183645</v>
      </c>
      <c r="X34" s="39"/>
    </row>
    <row r="35" spans="1:36" ht="15" x14ac:dyDescent="0.25">
      <c r="A35" s="39"/>
      <c r="B35" s="3">
        <v>2030</v>
      </c>
      <c r="C35" s="102">
        <f>Y35*(Inputs_Summary!$E73/$Y53)</f>
        <v>105159.11912967516</v>
      </c>
      <c r="D35" s="102">
        <f>Z35*(Inputs_Summary!$E73/$Y53)</f>
        <v>14420.364949130431</v>
      </c>
      <c r="E35" s="102">
        <f>AA35*(Inputs_Summary!$E73/$Y53)</f>
        <v>2213.3393648049964</v>
      </c>
      <c r="F35" s="102">
        <f>AB35*(Inputs_Summary!$E73/$Y53)</f>
        <v>90.777513118730255</v>
      </c>
      <c r="G35" s="102">
        <f>AC35*(Inputs_Summary!$E73/$Y53)</f>
        <v>11396.147798601945</v>
      </c>
      <c r="H35" s="102">
        <f>AD35*(Inputs_Summary!$E73/$Y53)</f>
        <v>4186.9852960942444</v>
      </c>
      <c r="I35" s="102">
        <f>AE35*(Inputs_Summary!$E73/$Y53)</f>
        <v>839.43700333387642</v>
      </c>
      <c r="J35" s="102">
        <f>AF35*(Inputs_Summary!$E73/$Y53)</f>
        <v>2623.3681319255529</v>
      </c>
      <c r="K35" s="102">
        <f>AG35*(Inputs_Summary!$E73/$Y53)</f>
        <v>0</v>
      </c>
      <c r="L35" s="102">
        <f>AH35*(Inputs_Summary!$E73/$Y53)</f>
        <v>1554.4374156510664</v>
      </c>
      <c r="M35" s="102">
        <f>AI35*(Inputs_Summary!$E73/$Y53)</f>
        <v>0</v>
      </c>
      <c r="N35" s="102">
        <f>AJ35*(Inputs_Summary!$E73/$Y53)</f>
        <v>2307.1767940962677</v>
      </c>
      <c r="O35" s="102">
        <f>AK35*(Inputs_Summary!$E73/$Y53)</f>
        <v>0</v>
      </c>
      <c r="P35" s="56"/>
      <c r="Q35" s="39">
        <f>G35+N35</f>
        <v>13703.324592698213</v>
      </c>
      <c r="R35" s="5">
        <f>SUM(K35:L35)</f>
        <v>1554.4374156510664</v>
      </c>
      <c r="T35" s="5">
        <f t="shared" ref="T35:T37" si="14">SUM(C35:O35)</f>
        <v>144791.15339643229</v>
      </c>
      <c r="Y35" s="39">
        <v>103100</v>
      </c>
      <c r="Z35" s="39">
        <v>14138</v>
      </c>
      <c r="AA35" s="39">
        <v>2170</v>
      </c>
      <c r="AB35" s="39">
        <v>89</v>
      </c>
      <c r="AC35" s="39">
        <v>11173</v>
      </c>
      <c r="AD35" s="39">
        <v>4105</v>
      </c>
      <c r="AE35" s="39">
        <v>823</v>
      </c>
      <c r="AF35" s="39">
        <v>2572</v>
      </c>
      <c r="AG35" s="39">
        <v>0</v>
      </c>
      <c r="AH35" s="39">
        <v>1524</v>
      </c>
      <c r="AI35" s="39">
        <v>0</v>
      </c>
      <c r="AJ35" s="39">
        <v>2262</v>
      </c>
    </row>
    <row r="36" spans="1:36" ht="15" x14ac:dyDescent="0.25">
      <c r="A36" s="39"/>
      <c r="B36" s="3">
        <v>2040</v>
      </c>
      <c r="C36" s="102">
        <f>Y36*(Inputs_Summary!$E74/$Y54)</f>
        <v>35024.376366978046</v>
      </c>
      <c r="D36" s="102">
        <f>Z36*(Inputs_Summary!$E74/$Y54)</f>
        <v>13915.554185199839</v>
      </c>
      <c r="E36" s="102">
        <f>AA36*(Inputs_Summary!$E74/$Y54)</f>
        <v>2222.3512601462971</v>
      </c>
      <c r="F36" s="102">
        <f>AB36*(Inputs_Summary!$E74/$Y54)</f>
        <v>87.367627488806093</v>
      </c>
      <c r="G36" s="102">
        <f>AC36*(Inputs_Summary!$E74/$Y54)</f>
        <v>11954.301581916639</v>
      </c>
      <c r="H36" s="102">
        <f>AD36*(Inputs_Summary!$E74/$Y54)</f>
        <v>0</v>
      </c>
      <c r="I36" s="102">
        <f>AE36*(Inputs_Summary!$E74/$Y54)</f>
        <v>856.60443963162754</v>
      </c>
      <c r="J36" s="102">
        <f>AF36*(Inputs_Summary!$E74/$Y54)</f>
        <v>776.26639136605866</v>
      </c>
      <c r="K36" s="102">
        <f>AG36*(Inputs_Summary!$E74/$Y54)</f>
        <v>0</v>
      </c>
      <c r="L36" s="102">
        <f>AH36*(Inputs_Summary!$E74/$Y54)</f>
        <v>1599.7313860881391</v>
      </c>
      <c r="M36" s="102">
        <f>AI36*(Inputs_Summary!$E74/$Y54)</f>
        <v>0</v>
      </c>
      <c r="N36" s="102">
        <f>AJ36*(Inputs_Summary!$E74/$Y54)</f>
        <v>2375.9977774541976</v>
      </c>
      <c r="O36" s="102">
        <f>AK36*(Inputs_Summary!$E74/$Y54)</f>
        <v>0</v>
      </c>
      <c r="P36" s="56"/>
      <c r="Q36" s="39">
        <f>G36+N36</f>
        <v>14330.299359370838</v>
      </c>
      <c r="R36" s="5">
        <f>SUM(K36:L36)</f>
        <v>1599.7313860881391</v>
      </c>
      <c r="T36" s="5">
        <f t="shared" si="14"/>
        <v>68812.551016269645</v>
      </c>
      <c r="Y36" s="39">
        <v>34877</v>
      </c>
      <c r="Z36" s="39">
        <v>13857</v>
      </c>
      <c r="AA36" s="39">
        <v>2213</v>
      </c>
      <c r="AB36" s="39">
        <v>87</v>
      </c>
      <c r="AC36" s="39">
        <v>11904</v>
      </c>
      <c r="AD36" s="39">
        <v>0</v>
      </c>
      <c r="AE36" s="39">
        <v>853</v>
      </c>
      <c r="AF36" s="39">
        <v>773</v>
      </c>
      <c r="AG36" s="39">
        <v>0</v>
      </c>
      <c r="AH36" s="39">
        <v>1593</v>
      </c>
      <c r="AI36" s="39">
        <v>0</v>
      </c>
      <c r="AJ36" s="39">
        <v>2366</v>
      </c>
    </row>
    <row r="37" spans="1:36" ht="15" x14ac:dyDescent="0.25">
      <c r="A37" s="39"/>
      <c r="B37" s="3">
        <v>2050</v>
      </c>
      <c r="C37" s="102">
        <f>Y37*(Inputs_Summary!$E75/$Y55)</f>
        <v>0</v>
      </c>
      <c r="D37" s="102">
        <f>Z37*(Inputs_Summary!$E75/$Y55)</f>
        <v>0</v>
      </c>
      <c r="E37" s="102">
        <f>AA37*(Inputs_Summary!$E75/$Y55)</f>
        <v>2294.8027873994797</v>
      </c>
      <c r="F37" s="102">
        <f>AB37*(Inputs_Summary!$E75/$Y55)</f>
        <v>0</v>
      </c>
      <c r="G37" s="102">
        <f>AC37*(Inputs_Summary!$E75/$Y55)</f>
        <v>12558.829800131698</v>
      </c>
      <c r="H37" s="102">
        <f>AD37*(Inputs_Summary!$E75/$Y55)</f>
        <v>0</v>
      </c>
      <c r="I37" s="102">
        <f>AE37*(Inputs_Summary!$E75/$Y55)</f>
        <v>0</v>
      </c>
      <c r="J37" s="102">
        <f>AF37*(Inputs_Summary!$E75/$Y55)</f>
        <v>0</v>
      </c>
      <c r="K37" s="102">
        <f>AG37*(Inputs_Summary!$E75/$Y55)</f>
        <v>0</v>
      </c>
      <c r="L37" s="102">
        <f>AH37*(Inputs_Summary!$E75/$Y55)</f>
        <v>1716.7770742097216</v>
      </c>
      <c r="M37" s="102">
        <f>AI37*(Inputs_Summary!$E75/$Y55)</f>
        <v>0</v>
      </c>
      <c r="N37" s="102">
        <f>AJ37*(Inputs_Summary!$E75/$Y55)</f>
        <v>1754.4301576393361</v>
      </c>
      <c r="O37" s="102">
        <f>AK37*(Inputs_Summary!$E75/$Y55)</f>
        <v>0</v>
      </c>
      <c r="P37" s="56"/>
      <c r="Q37" s="39">
        <f>G37+N37</f>
        <v>14313.259957771033</v>
      </c>
      <c r="R37" s="5">
        <f>SUM(K37:L37)</f>
        <v>1716.7770742097216</v>
      </c>
      <c r="T37" s="5">
        <f t="shared" si="14"/>
        <v>18324.839819380235</v>
      </c>
      <c r="Y37" s="39">
        <v>0</v>
      </c>
      <c r="Z37" s="39">
        <v>0</v>
      </c>
      <c r="AA37" s="39">
        <v>2255</v>
      </c>
      <c r="AB37" s="39">
        <v>0</v>
      </c>
      <c r="AC37" s="39">
        <v>12341</v>
      </c>
      <c r="AD37" s="39">
        <v>0</v>
      </c>
      <c r="AE37" s="39">
        <v>0</v>
      </c>
      <c r="AF37" s="39">
        <v>0</v>
      </c>
      <c r="AG37" s="39">
        <v>0</v>
      </c>
      <c r="AH37" s="39">
        <v>1687</v>
      </c>
      <c r="AI37" s="39">
        <v>0</v>
      </c>
      <c r="AJ37" s="39">
        <v>1724</v>
      </c>
    </row>
    <row r="38" spans="1:36" ht="15" x14ac:dyDescent="0.25">
      <c r="A38" s="39"/>
      <c r="Q38" s="5"/>
      <c r="R38" s="5"/>
      <c r="S38" s="5"/>
      <c r="X38" s="39"/>
    </row>
    <row r="39" spans="1:36" ht="30" x14ac:dyDescent="0.25">
      <c r="A39" s="39"/>
      <c r="B39" s="43" t="s">
        <v>35</v>
      </c>
      <c r="C39" s="43" t="s">
        <v>0</v>
      </c>
      <c r="D39" s="43" t="s">
        <v>1</v>
      </c>
      <c r="E39" s="43" t="s">
        <v>28</v>
      </c>
      <c r="F39" s="2" t="s">
        <v>29</v>
      </c>
      <c r="G39" s="2" t="s">
        <v>6</v>
      </c>
      <c r="H39" s="43" t="s">
        <v>2</v>
      </c>
      <c r="I39" s="43" t="s">
        <v>3</v>
      </c>
      <c r="J39" s="43" t="s">
        <v>4</v>
      </c>
      <c r="K39" s="43" t="s">
        <v>9</v>
      </c>
      <c r="L39" s="43" t="s">
        <v>8</v>
      </c>
      <c r="M39" s="43" t="s">
        <v>25</v>
      </c>
      <c r="N39" s="43" t="s">
        <v>7</v>
      </c>
      <c r="O39" s="43" t="s">
        <v>89</v>
      </c>
      <c r="P39" s="25"/>
      <c r="Q39" s="43" t="s">
        <v>5</v>
      </c>
      <c r="R39" s="43" t="s">
        <v>91</v>
      </c>
      <c r="T39" s="43" t="s">
        <v>10</v>
      </c>
      <c r="X39" s="39"/>
    </row>
    <row r="40" spans="1:36" ht="15" x14ac:dyDescent="0.25">
      <c r="A40" s="39"/>
      <c r="B40" s="3">
        <v>2016</v>
      </c>
      <c r="C40" s="102">
        <f>Y40*(Inputs_Summary!$E72/$Y52)</f>
        <v>0</v>
      </c>
      <c r="D40" s="102">
        <f>Z40*(Inputs_Summary!$E72/$Y52)</f>
        <v>0</v>
      </c>
      <c r="E40" s="102">
        <f>AA40*(Inputs_Summary!$E72/$Y52)</f>
        <v>0</v>
      </c>
      <c r="F40" s="102">
        <f>AB40*(Inputs_Summary!$E72/$Y52)</f>
        <v>0</v>
      </c>
      <c r="G40" s="102">
        <f>AC40*(Inputs_Summary!$E72/$Y52)</f>
        <v>0</v>
      </c>
      <c r="H40" s="102">
        <f>AD40*(Inputs_Summary!$E72/$Y52)</f>
        <v>0</v>
      </c>
      <c r="I40" s="102">
        <f>AE40*(Inputs_Summary!$E72/$Y52)</f>
        <v>0</v>
      </c>
      <c r="J40" s="102">
        <f>AF40*(Inputs_Summary!$E72/$Y52)</f>
        <v>0</v>
      </c>
      <c r="K40" s="102">
        <f>AG40*(Inputs_Summary!$E72/$Y52)</f>
        <v>0</v>
      </c>
      <c r="L40" s="102">
        <f>AH40*(Inputs_Summary!$E72/$Y52)</f>
        <v>0</v>
      </c>
      <c r="M40" s="102">
        <f>AI40*(Inputs_Summary!$E72/$Y52)</f>
        <v>0</v>
      </c>
      <c r="N40" s="102">
        <f>AJ40*(Inputs_Summary!$E72/$Y52)</f>
        <v>0</v>
      </c>
      <c r="O40" s="102">
        <f>AK40*(Inputs_Summary!$E72/$Y52)</f>
        <v>0</v>
      </c>
      <c r="P40" s="56"/>
      <c r="Q40" s="39">
        <f>G40+N40</f>
        <v>0</v>
      </c>
      <c r="R40" s="5">
        <f>SUM(K40:L40)</f>
        <v>0</v>
      </c>
      <c r="T40" s="5">
        <f>SUM(C40:O40)</f>
        <v>0</v>
      </c>
      <c r="X40" s="39"/>
    </row>
    <row r="41" spans="1:36" ht="15" x14ac:dyDescent="0.25">
      <c r="A41" s="39"/>
      <c r="B41" s="3">
        <v>2030</v>
      </c>
      <c r="C41" s="102">
        <f>Y41*(Inputs_Summary!$E73/$Y53)</f>
        <v>60476.183234109601</v>
      </c>
      <c r="D41" s="102">
        <f>Z41*(Inputs_Summary!$E73/$Y53)</f>
        <v>0</v>
      </c>
      <c r="E41" s="102">
        <f>AA41*(Inputs_Summary!$E73/$Y53)</f>
        <v>0</v>
      </c>
      <c r="F41" s="102">
        <f>AB41*(Inputs_Summary!$E73/$Y53)</f>
        <v>0</v>
      </c>
      <c r="G41" s="102">
        <f>AC41*(Inputs_Summary!$E73/$Y53)</f>
        <v>193.79469092762639</v>
      </c>
      <c r="H41" s="102">
        <f>AD41*(Inputs_Summary!$E73/$Y53)</f>
        <v>8977.794050236671</v>
      </c>
      <c r="I41" s="102">
        <f>AE41*(Inputs_Summary!$E73/$Y53)</f>
        <v>4215.5445137046308</v>
      </c>
      <c r="J41" s="102">
        <f>AF41*(Inputs_Summary!$E73/$Y53)</f>
        <v>2363.2752572595282</v>
      </c>
      <c r="K41" s="102">
        <f>AG41*(Inputs_Summary!$E73/$Y53)</f>
        <v>352.91033189978282</v>
      </c>
      <c r="L41" s="102">
        <f>AH41*(Inputs_Summary!$E73/$Y53)</f>
        <v>1022.0120016288508</v>
      </c>
      <c r="M41" s="102">
        <f>AI41*(Inputs_Summary!$E73/$Y53)</f>
        <v>0</v>
      </c>
      <c r="N41" s="102">
        <f>AJ41*(Inputs_Summary!$E73/$Y53)</f>
        <v>2630.5079363281498</v>
      </c>
      <c r="O41" s="102">
        <f>AK41*(Inputs_Summary!$E73/$Y53)</f>
        <v>0</v>
      </c>
      <c r="P41" s="56"/>
      <c r="Q41" s="39">
        <f>G41+N41</f>
        <v>2824.3026272557763</v>
      </c>
      <c r="R41" s="5">
        <f>SUM(K41:L41)</f>
        <v>1374.9223335286338</v>
      </c>
      <c r="T41" s="5">
        <f t="shared" ref="T41:T43" si="15">SUM(C41:O41)</f>
        <v>80232.022016094867</v>
      </c>
      <c r="Y41" s="39">
        <v>59292</v>
      </c>
      <c r="Z41" s="39">
        <v>0</v>
      </c>
      <c r="AA41" s="39">
        <v>0</v>
      </c>
      <c r="AB41" s="39">
        <v>0</v>
      </c>
      <c r="AC41" s="39">
        <v>190</v>
      </c>
      <c r="AD41" s="39">
        <v>8802</v>
      </c>
      <c r="AE41" s="39">
        <v>4133</v>
      </c>
      <c r="AF41" s="39">
        <v>2317</v>
      </c>
      <c r="AG41" s="39">
        <v>346</v>
      </c>
      <c r="AH41" s="39">
        <v>1002</v>
      </c>
      <c r="AI41" s="39">
        <v>0</v>
      </c>
      <c r="AJ41" s="39">
        <v>2579</v>
      </c>
    </row>
    <row r="42" spans="1:36" ht="15" x14ac:dyDescent="0.25">
      <c r="A42" s="39"/>
      <c r="B42" s="3">
        <v>2040</v>
      </c>
      <c r="C42" s="102">
        <f>Y42*(Inputs_Summary!$E74/$Y54)</f>
        <v>62632.546653440768</v>
      </c>
      <c r="D42" s="102">
        <f>Z42*(Inputs_Summary!$E74/$Y54)</f>
        <v>0</v>
      </c>
      <c r="E42" s="102">
        <f>AA42*(Inputs_Summary!$E74/$Y54)</f>
        <v>0</v>
      </c>
      <c r="F42" s="102">
        <f>AB42*(Inputs_Summary!$E74/$Y54)</f>
        <v>0</v>
      </c>
      <c r="G42" s="102">
        <f>AC42*(Inputs_Summary!$E74/$Y54)</f>
        <v>196.8282182506436</v>
      </c>
      <c r="H42" s="102">
        <f>AD42*(Inputs_Summary!$E74/$Y54)</f>
        <v>0</v>
      </c>
      <c r="I42" s="102">
        <f>AE42*(Inputs_Summary!$E74/$Y54)</f>
        <v>4174.5658329996195</v>
      </c>
      <c r="J42" s="102">
        <f>AF42*(Inputs_Summary!$E74/$Y54)</f>
        <v>2377.0020030575174</v>
      </c>
      <c r="K42" s="102">
        <f>AG42*(Inputs_Summary!$E74/$Y54)</f>
        <v>354.4916379718224</v>
      </c>
      <c r="L42" s="102">
        <f>AH42*(Inputs_Summary!$E74/$Y54)</f>
        <v>1036.3608226258377</v>
      </c>
      <c r="M42" s="102">
        <f>AI42*(Inputs_Summary!$E74/$Y54)</f>
        <v>0</v>
      </c>
      <c r="N42" s="102">
        <f>AJ42*(Inputs_Summary!$E74/$Y54)</f>
        <v>2755.5950555090103</v>
      </c>
      <c r="O42" s="102">
        <f>AK42*(Inputs_Summary!$E74/$Y54)</f>
        <v>0</v>
      </c>
      <c r="P42" s="56"/>
      <c r="Q42" s="39">
        <f>G42+N42</f>
        <v>2952.423273759654</v>
      </c>
      <c r="R42" s="5">
        <f>SUM(K42:L42)</f>
        <v>1390.8524605976602</v>
      </c>
      <c r="T42" s="5">
        <f t="shared" si="15"/>
        <v>73527.390223855211</v>
      </c>
      <c r="Y42" s="39">
        <v>62369</v>
      </c>
      <c r="Z42" s="39">
        <v>0</v>
      </c>
      <c r="AA42" s="39">
        <v>0</v>
      </c>
      <c r="AB42" s="39">
        <v>0</v>
      </c>
      <c r="AC42" s="39">
        <v>196</v>
      </c>
      <c r="AD42" s="39">
        <v>0</v>
      </c>
      <c r="AE42" s="39">
        <v>4157</v>
      </c>
      <c r="AF42" s="39">
        <v>2367</v>
      </c>
      <c r="AG42" s="39">
        <v>353</v>
      </c>
      <c r="AH42" s="39">
        <v>1032</v>
      </c>
      <c r="AI42" s="39">
        <v>0</v>
      </c>
      <c r="AJ42" s="39">
        <v>2744</v>
      </c>
    </row>
    <row r="43" spans="1:36" ht="15" x14ac:dyDescent="0.25">
      <c r="A43" s="39"/>
      <c r="B43" s="3">
        <v>2050</v>
      </c>
      <c r="C43" s="102">
        <f>Y43*(Inputs_Summary!$E75/$Y55)</f>
        <v>69371.226789998997</v>
      </c>
      <c r="D43" s="102">
        <f>Z43*(Inputs_Summary!$E75/$Y55)</f>
        <v>0</v>
      </c>
      <c r="E43" s="102">
        <f>AA43*(Inputs_Summary!$E75/$Y55)</f>
        <v>0</v>
      </c>
      <c r="F43" s="102">
        <f>AB43*(Inputs_Summary!$E75/$Y55)</f>
        <v>0</v>
      </c>
      <c r="G43" s="102">
        <f>AC43*(Inputs_Summary!$E75/$Y55)</f>
        <v>192.33602076208498</v>
      </c>
      <c r="H43" s="102">
        <f>AD43*(Inputs_Summary!$E75/$Y55)</f>
        <v>0</v>
      </c>
      <c r="I43" s="102">
        <f>AE43*(Inputs_Summary!$E75/$Y55)</f>
        <v>0</v>
      </c>
      <c r="J43" s="102">
        <f>AF43*(Inputs_Summary!$E75/$Y55)</f>
        <v>0</v>
      </c>
      <c r="K43" s="102">
        <f>AG43*(Inputs_Summary!$E75/$Y55)</f>
        <v>0</v>
      </c>
      <c r="L43" s="102">
        <f>AH43*(Inputs_Summary!$E75/$Y55)</f>
        <v>0</v>
      </c>
      <c r="M43" s="102">
        <f>AI43*(Inputs_Summary!$E75/$Y55)</f>
        <v>0</v>
      </c>
      <c r="N43" s="102">
        <f>AJ43*(Inputs_Summary!$E75/$Y55)</f>
        <v>2346.7029834781374</v>
      </c>
      <c r="O43" s="102">
        <f>AK43*(Inputs_Summary!$E75/$Y55)</f>
        <v>0</v>
      </c>
      <c r="P43" s="56"/>
      <c r="Q43" s="39">
        <f>G43+N43</f>
        <v>2539.0390042402223</v>
      </c>
      <c r="R43" s="5">
        <f>SUM(K43:L43)</f>
        <v>0</v>
      </c>
      <c r="T43" s="5">
        <f t="shared" si="15"/>
        <v>71910.265794239225</v>
      </c>
      <c r="X43" s="39"/>
      <c r="Y43" s="39">
        <v>68168</v>
      </c>
      <c r="Z43" s="39">
        <v>0</v>
      </c>
      <c r="AA43" s="39">
        <v>0</v>
      </c>
      <c r="AB43" s="39">
        <v>0</v>
      </c>
      <c r="AC43" s="39">
        <v>189</v>
      </c>
      <c r="AD43" s="39">
        <v>0</v>
      </c>
      <c r="AE43" s="39">
        <v>0</v>
      </c>
      <c r="AF43" s="39">
        <v>0</v>
      </c>
      <c r="AG43" s="39">
        <v>0</v>
      </c>
      <c r="AH43" s="39">
        <v>0</v>
      </c>
      <c r="AI43" s="39">
        <v>0</v>
      </c>
      <c r="AJ43" s="39">
        <v>2306</v>
      </c>
    </row>
    <row r="44" spans="1:36" ht="15" x14ac:dyDescent="0.25">
      <c r="A44" s="39"/>
      <c r="Q44" s="5"/>
      <c r="R44" s="5"/>
      <c r="S44" s="5"/>
      <c r="X44" s="39"/>
    </row>
    <row r="45" spans="1:36" ht="30" x14ac:dyDescent="0.25">
      <c r="A45" s="39"/>
      <c r="B45" s="43" t="s">
        <v>36</v>
      </c>
      <c r="C45" s="43" t="s">
        <v>0</v>
      </c>
      <c r="D45" s="43" t="s">
        <v>1</v>
      </c>
      <c r="E45" s="43" t="s">
        <v>28</v>
      </c>
      <c r="F45" s="2" t="s">
        <v>29</v>
      </c>
      <c r="G45" s="2" t="s">
        <v>6</v>
      </c>
      <c r="H45" s="43" t="s">
        <v>2</v>
      </c>
      <c r="I45" s="43" t="s">
        <v>3</v>
      </c>
      <c r="J45" s="43" t="s">
        <v>4</v>
      </c>
      <c r="K45" s="43" t="s">
        <v>9</v>
      </c>
      <c r="L45" s="43" t="s">
        <v>8</v>
      </c>
      <c r="M45" s="43" t="s">
        <v>25</v>
      </c>
      <c r="N45" s="43" t="s">
        <v>7</v>
      </c>
      <c r="O45" s="43" t="s">
        <v>89</v>
      </c>
      <c r="P45" s="25"/>
      <c r="Q45" s="43" t="s">
        <v>5</v>
      </c>
      <c r="R45" s="43" t="s">
        <v>91</v>
      </c>
      <c r="T45" s="43" t="s">
        <v>10</v>
      </c>
      <c r="X45" s="39"/>
    </row>
    <row r="46" spans="1:36" ht="15" x14ac:dyDescent="0.25">
      <c r="A46" s="39"/>
      <c r="B46" s="3">
        <v>2016</v>
      </c>
      <c r="C46" s="102">
        <f>Y46*(Inputs_Summary!$E72/$Y52)</f>
        <v>0</v>
      </c>
      <c r="D46" s="102">
        <f>Z46*(Inputs_Summary!$E72/$Y52)</f>
        <v>0</v>
      </c>
      <c r="E46" s="102">
        <f>AA46*(Inputs_Summary!$E72/$Y52)</f>
        <v>0</v>
      </c>
      <c r="F46" s="102">
        <f>AB46*(Inputs_Summary!$E72/$Y52)</f>
        <v>0</v>
      </c>
      <c r="G46" s="102">
        <f>AC46*(Inputs_Summary!$E72/$Y52)</f>
        <v>0</v>
      </c>
      <c r="H46" s="102">
        <f>AD46*(Inputs_Summary!$E72/$Y52)</f>
        <v>0</v>
      </c>
      <c r="I46" s="102">
        <f>AE46*(Inputs_Summary!$E72/$Y52)</f>
        <v>0</v>
      </c>
      <c r="J46" s="102">
        <f>AF46*(Inputs_Summary!$E72/$Y52)</f>
        <v>0</v>
      </c>
      <c r="K46" s="102">
        <f>AG46*(Inputs_Summary!$E72/$Y52)</f>
        <v>0</v>
      </c>
      <c r="L46" s="102">
        <f>AH46*(Inputs_Summary!$E72/$Y52)</f>
        <v>0</v>
      </c>
      <c r="M46" s="102">
        <f>AI46*(Inputs_Summary!$E72/$Y52)</f>
        <v>0</v>
      </c>
      <c r="N46" s="102">
        <f>AJ46*(Inputs_Summary!$E72/$Y52)</f>
        <v>0</v>
      </c>
      <c r="O46" s="102">
        <f>AK46*(Inputs_Summary!$E72/$Y52)</f>
        <v>0</v>
      </c>
      <c r="P46" s="56"/>
      <c r="Q46" s="39">
        <f>G46+N46</f>
        <v>0</v>
      </c>
      <c r="R46" s="5">
        <f>SUM(K46:L46)</f>
        <v>0</v>
      </c>
      <c r="T46" s="5">
        <f>SUM(C46:O46)</f>
        <v>0</v>
      </c>
      <c r="X46" s="39"/>
    </row>
    <row r="47" spans="1:36" ht="15" x14ac:dyDescent="0.25">
      <c r="A47" s="39"/>
      <c r="B47" s="3">
        <v>2030</v>
      </c>
      <c r="C47" s="102">
        <f>Y47*(Inputs_Summary!$E73/$Y53)</f>
        <v>0</v>
      </c>
      <c r="D47" s="102">
        <f>Z47*(Inputs_Summary!$E73/$Y53)</f>
        <v>40046.142922107727</v>
      </c>
      <c r="E47" s="102">
        <f>AA47*(Inputs_Summary!$E73/$Y53)</f>
        <v>6279.9679581126093</v>
      </c>
      <c r="F47" s="102">
        <f>AB47*(Inputs_Summary!$E73/$Y53)</f>
        <v>519.16577727453603</v>
      </c>
      <c r="G47" s="102">
        <f>AC47*(Inputs_Summary!$E73/$Y53)</f>
        <v>10760.705206770834</v>
      </c>
      <c r="H47" s="102">
        <f>AD47*(Inputs_Summary!$E73/$Y53)</f>
        <v>49696.098558246005</v>
      </c>
      <c r="I47" s="102">
        <f>AE47*(Inputs_Summary!$E73/$Y53)</f>
        <v>0</v>
      </c>
      <c r="J47" s="102">
        <f>AF47*(Inputs_Summary!$E73/$Y53)</f>
        <v>17526.179864260022</v>
      </c>
      <c r="K47" s="102">
        <f>AG47*(Inputs_Summary!$E73/$Y53)</f>
        <v>0</v>
      </c>
      <c r="L47" s="102">
        <f>AH47*(Inputs_Summary!$E73/$Y53)</f>
        <v>0</v>
      </c>
      <c r="M47" s="102">
        <f>AI47*(Inputs_Summary!$E73/$Y53)</f>
        <v>121.37667484414496</v>
      </c>
      <c r="N47" s="102">
        <f>AJ47*(Inputs_Summary!$E73/$Y53)</f>
        <v>0</v>
      </c>
      <c r="O47" s="102">
        <f>AK47*(Inputs_Summary!$E73/$Y53)</f>
        <v>0</v>
      </c>
      <c r="P47" s="56"/>
      <c r="Q47" s="39">
        <f>G47+N47</f>
        <v>10760.705206770834</v>
      </c>
      <c r="R47" s="5">
        <f>SUM(K47:L47)</f>
        <v>0</v>
      </c>
      <c r="T47" s="5">
        <f t="shared" ref="T47:T49" si="16">SUM(C47:O47)</f>
        <v>124949.63696161588</v>
      </c>
      <c r="Y47" s="39">
        <v>0</v>
      </c>
      <c r="Z47" s="39">
        <v>39262</v>
      </c>
      <c r="AA47" s="39">
        <v>6157</v>
      </c>
      <c r="AB47" s="39">
        <v>509</v>
      </c>
      <c r="AC47" s="39">
        <v>10550</v>
      </c>
      <c r="AD47" s="39">
        <v>48723</v>
      </c>
      <c r="AE47" s="39">
        <v>0</v>
      </c>
      <c r="AF47" s="39">
        <v>17183</v>
      </c>
      <c r="AG47" s="39">
        <v>0</v>
      </c>
      <c r="AH47" s="39">
        <v>0</v>
      </c>
      <c r="AI47" s="39">
        <v>119</v>
      </c>
      <c r="AJ47" s="39">
        <v>0</v>
      </c>
    </row>
    <row r="48" spans="1:36" ht="15" x14ac:dyDescent="0.25">
      <c r="A48" s="39"/>
      <c r="B48" s="3">
        <v>2040</v>
      </c>
      <c r="C48" s="102">
        <f>Y48*(Inputs_Summary!$E74/$Y54)</f>
        <v>0</v>
      </c>
      <c r="D48" s="102">
        <f>Z48*(Inputs_Summary!$E74/$Y54)</f>
        <v>105734.91377352175</v>
      </c>
      <c r="E48" s="102">
        <f>AA48*(Inputs_Summary!$E74/$Y54)</f>
        <v>34096.471909510728</v>
      </c>
      <c r="F48" s="102">
        <f>AB48*(Inputs_Summary!$E74/$Y54)</f>
        <v>922.88332945072182</v>
      </c>
      <c r="G48" s="102">
        <f>AC48*(Inputs_Summary!$E74/$Y54)</f>
        <v>13259.794866232132</v>
      </c>
      <c r="H48" s="102">
        <f>AD48*(Inputs_Summary!$E74/$Y54)</f>
        <v>103245.43850289244</v>
      </c>
      <c r="I48" s="102">
        <f>AE48*(Inputs_Summary!$E74/$Y54)</f>
        <v>0</v>
      </c>
      <c r="J48" s="102">
        <f>AF48*(Inputs_Summary!$E74/$Y54)</f>
        <v>35483.307467695107</v>
      </c>
      <c r="K48" s="102">
        <f>AG48*(Inputs_Summary!$E74/$Y54)</f>
        <v>0</v>
      </c>
      <c r="L48" s="102">
        <f>AH48*(Inputs_Summary!$E74/$Y54)</f>
        <v>0</v>
      </c>
      <c r="M48" s="102">
        <f>AI48*(Inputs_Summary!$E74/$Y54)</f>
        <v>120.50707239835322</v>
      </c>
      <c r="N48" s="102">
        <f>AJ48*(Inputs_Summary!$E74/$Y54)</f>
        <v>0</v>
      </c>
      <c r="O48" s="102">
        <f>AK48*(Inputs_Summary!$E74/$Y54)</f>
        <v>0</v>
      </c>
      <c r="P48" s="56"/>
      <c r="Q48" s="39">
        <f>G48+N48</f>
        <v>13259.794866232132</v>
      </c>
      <c r="R48" s="5">
        <f>SUM(K48:L48)</f>
        <v>0</v>
      </c>
      <c r="T48" s="5">
        <f t="shared" si="16"/>
        <v>292863.31692170131</v>
      </c>
      <c r="Y48" s="39">
        <v>0</v>
      </c>
      <c r="Z48" s="39">
        <v>105290</v>
      </c>
      <c r="AA48" s="39">
        <v>33953</v>
      </c>
      <c r="AB48" s="39">
        <v>919</v>
      </c>
      <c r="AC48" s="39">
        <v>13204</v>
      </c>
      <c r="AD48" s="39">
        <v>102811</v>
      </c>
      <c r="AE48" s="39">
        <v>0</v>
      </c>
      <c r="AF48" s="39">
        <v>35334</v>
      </c>
      <c r="AG48" s="39">
        <v>0</v>
      </c>
      <c r="AH48" s="39">
        <v>0</v>
      </c>
      <c r="AI48" s="39">
        <v>120</v>
      </c>
      <c r="AJ48" s="39">
        <v>0</v>
      </c>
    </row>
    <row r="49" spans="1:41" ht="15" x14ac:dyDescent="0.25">
      <c r="A49" s="39"/>
      <c r="B49" s="3">
        <v>2050</v>
      </c>
      <c r="C49" s="102">
        <f>Y49*(Inputs_Summary!$E75/$Y55)</f>
        <v>0</v>
      </c>
      <c r="D49" s="102">
        <f>Z49*(Inputs_Summary!$E75/$Y55)</f>
        <v>185272.50584087</v>
      </c>
      <c r="E49" s="102">
        <f>AA49*(Inputs_Summary!$E75/$Y55)</f>
        <v>80657.992960751813</v>
      </c>
      <c r="F49" s="102">
        <f>AB49*(Inputs_Summary!$E75/$Y55)</f>
        <v>775.44998846935857</v>
      </c>
      <c r="G49" s="102">
        <f>AC49*(Inputs_Summary!$E75/$Y55)</f>
        <v>15463.205478729531</v>
      </c>
      <c r="H49" s="102">
        <f>AD49*(Inputs_Summary!$E75/$Y55)</f>
        <v>110243.14002739381</v>
      </c>
      <c r="I49" s="102">
        <f>AE49*(Inputs_Summary!$E75/$Y55)</f>
        <v>0</v>
      </c>
      <c r="J49" s="102">
        <f>AF49*(Inputs_Summary!$E75/$Y55)</f>
        <v>44189.455182814905</v>
      </c>
      <c r="K49" s="102">
        <f>AG49*(Inputs_Summary!$E75/$Y55)</f>
        <v>0</v>
      </c>
      <c r="L49" s="102">
        <f>AH49*(Inputs_Summary!$E75/$Y55)</f>
        <v>0</v>
      </c>
      <c r="M49" s="102">
        <f>AI49*(Inputs_Summary!$E75/$Y55)</f>
        <v>119.06515570986214</v>
      </c>
      <c r="N49" s="102">
        <f>AJ49*(Inputs_Summary!$E75/$Y55)</f>
        <v>0</v>
      </c>
      <c r="O49" s="102">
        <f>AK49*(Inputs_Summary!$E75/$Y55)</f>
        <v>0</v>
      </c>
      <c r="P49" s="56"/>
      <c r="Q49" s="39">
        <f>G49+N49</f>
        <v>15463.205478729531</v>
      </c>
      <c r="R49" s="5">
        <f>SUM(K49:L49)</f>
        <v>0</v>
      </c>
      <c r="T49" s="5">
        <f t="shared" si="16"/>
        <v>436720.8146347393</v>
      </c>
      <c r="Y49" s="39">
        <v>0</v>
      </c>
      <c r="Z49" s="39">
        <v>182059</v>
      </c>
      <c r="AA49" s="39">
        <v>79259</v>
      </c>
      <c r="AB49" s="39">
        <v>762</v>
      </c>
      <c r="AC49" s="39">
        <v>15195</v>
      </c>
      <c r="AD49" s="39">
        <v>108331</v>
      </c>
      <c r="AE49" s="39">
        <v>0</v>
      </c>
      <c r="AF49" s="39">
        <v>43423</v>
      </c>
      <c r="AG49" s="39">
        <v>0</v>
      </c>
      <c r="AH49" s="39">
        <v>0</v>
      </c>
      <c r="AI49" s="39">
        <v>117</v>
      </c>
      <c r="AJ49" s="39">
        <v>0</v>
      </c>
    </row>
    <row r="50" spans="1:41" ht="15" x14ac:dyDescent="0.25">
      <c r="A50" s="39"/>
    </row>
    <row r="51" spans="1:41" ht="30" x14ac:dyDescent="0.25">
      <c r="A51" s="39"/>
      <c r="B51" s="43" t="s">
        <v>13</v>
      </c>
      <c r="C51" s="43" t="s">
        <v>0</v>
      </c>
      <c r="D51" s="43" t="s">
        <v>1</v>
      </c>
      <c r="E51" s="43" t="s">
        <v>28</v>
      </c>
      <c r="F51" s="2" t="s">
        <v>29</v>
      </c>
      <c r="G51" s="2" t="s">
        <v>6</v>
      </c>
      <c r="H51" s="43" t="s">
        <v>2</v>
      </c>
      <c r="I51" s="43" t="s">
        <v>3</v>
      </c>
      <c r="J51" s="43" t="s">
        <v>4</v>
      </c>
      <c r="K51" s="43" t="s">
        <v>9</v>
      </c>
      <c r="L51" s="43" t="s">
        <v>8</v>
      </c>
      <c r="M51" s="43" t="s">
        <v>25</v>
      </c>
      <c r="N51" s="43" t="s">
        <v>7</v>
      </c>
      <c r="O51" s="43" t="s">
        <v>89</v>
      </c>
      <c r="P51" s="25"/>
      <c r="Q51" s="43" t="s">
        <v>5</v>
      </c>
      <c r="R51" s="43" t="s">
        <v>91</v>
      </c>
      <c r="T51" s="43" t="s">
        <v>10</v>
      </c>
      <c r="U51" s="43"/>
      <c r="V51" s="43"/>
      <c r="W51" s="43" t="s">
        <v>16</v>
      </c>
      <c r="X51" s="43" t="s">
        <v>15</v>
      </c>
    </row>
    <row r="52" spans="1:41" ht="15" x14ac:dyDescent="0.25">
      <c r="A52" s="39">
        <f>C52-C46</f>
        <v>194808.80434990322</v>
      </c>
      <c r="B52" s="3">
        <v>2016</v>
      </c>
      <c r="C52" s="50">
        <f t="shared" ref="C52:O55" si="17">C34+C40+C46</f>
        <v>194808.80434990322</v>
      </c>
      <c r="D52" s="50">
        <f t="shared" si="17"/>
        <v>14743.87884401034</v>
      </c>
      <c r="E52" s="50">
        <f t="shared" si="17"/>
        <v>756.07675598824017</v>
      </c>
      <c r="F52" s="50">
        <f t="shared" si="17"/>
        <v>2024.3136712665919</v>
      </c>
      <c r="G52" s="50">
        <f t="shared" si="17"/>
        <v>15799.124268819065</v>
      </c>
      <c r="H52" s="50">
        <f t="shared" si="17"/>
        <v>4022.2162852660199</v>
      </c>
      <c r="I52" s="50">
        <f t="shared" si="17"/>
        <v>827.66992563012559</v>
      </c>
      <c r="J52" s="50">
        <f t="shared" si="17"/>
        <v>2639.0862346009021</v>
      </c>
      <c r="K52" s="50">
        <f t="shared" si="17"/>
        <v>0</v>
      </c>
      <c r="L52" s="50">
        <f t="shared" si="17"/>
        <v>1583.7347303540462</v>
      </c>
      <c r="M52" s="50">
        <f t="shared" si="17"/>
        <v>0</v>
      </c>
      <c r="N52" s="50">
        <f t="shared" si="17"/>
        <v>2994.3929759978951</v>
      </c>
      <c r="O52" s="50">
        <f t="shared" si="17"/>
        <v>0</v>
      </c>
      <c r="P52" s="56"/>
      <c r="Q52" s="39">
        <f>G52+N52</f>
        <v>18793.517244816961</v>
      </c>
      <c r="R52" s="5">
        <f>SUM(K52:L52)</f>
        <v>1583.7347303540462</v>
      </c>
      <c r="T52" s="5">
        <f>SUM(C52:O52)</f>
        <v>240199.29804183645</v>
      </c>
      <c r="W52" s="18">
        <f>SUM(G52:L52)</f>
        <v>24871.831444670155</v>
      </c>
      <c r="X52" s="23">
        <f>W52/Inputs_Summary!G72</f>
        <v>0.10273922781756209</v>
      </c>
      <c r="Y52" s="39">
        <v>240333.53100000005</v>
      </c>
    </row>
    <row r="53" spans="1:41" ht="15" x14ac:dyDescent="0.25">
      <c r="A53" s="39">
        <f t="shared" ref="A53:A55" si="18">C53-C47</f>
        <v>165635.30236378475</v>
      </c>
      <c r="B53" s="3">
        <v>2030</v>
      </c>
      <c r="C53" s="50">
        <f t="shared" ref="C53:N53" si="19">C35+C41+C47</f>
        <v>165635.30236378475</v>
      </c>
      <c r="D53" s="50">
        <f t="shared" si="19"/>
        <v>54466.507871238158</v>
      </c>
      <c r="E53" s="50">
        <f t="shared" si="19"/>
        <v>8493.3073229176061</v>
      </c>
      <c r="F53" s="50">
        <f t="shared" si="19"/>
        <v>609.94329039326624</v>
      </c>
      <c r="G53" s="50">
        <f t="shared" si="19"/>
        <v>22350.647696300406</v>
      </c>
      <c r="H53" s="50">
        <f t="shared" si="19"/>
        <v>62860.877904576919</v>
      </c>
      <c r="I53" s="50">
        <f t="shared" si="19"/>
        <v>5054.9815170385073</v>
      </c>
      <c r="J53" s="50">
        <f t="shared" si="19"/>
        <v>22512.823253445102</v>
      </c>
      <c r="K53" s="50">
        <f t="shared" si="19"/>
        <v>352.91033189978282</v>
      </c>
      <c r="L53" s="50">
        <f t="shared" si="19"/>
        <v>2576.4494172799173</v>
      </c>
      <c r="M53" s="50">
        <f t="shared" si="19"/>
        <v>121.37667484414496</v>
      </c>
      <c r="N53" s="50">
        <f t="shared" si="19"/>
        <v>4937.6847304244175</v>
      </c>
      <c r="O53" s="50">
        <f t="shared" si="17"/>
        <v>0</v>
      </c>
      <c r="P53" s="56"/>
      <c r="Q53" s="39">
        <f>G53+N53</f>
        <v>27288.332426724824</v>
      </c>
      <c r="R53" s="5">
        <f>SUM(K53:L53)</f>
        <v>2929.3597491797</v>
      </c>
      <c r="T53" s="5">
        <f t="shared" ref="T53:T55" si="20">SUM(C53:O53)</f>
        <v>349972.81237414293</v>
      </c>
      <c r="W53" s="18">
        <f>SUM(G53:L53)</f>
        <v>115708.69012054063</v>
      </c>
      <c r="X53" s="23">
        <f>W53/Inputs_Summary!G73</f>
        <v>0.33682462600003676</v>
      </c>
      <c r="Y53" s="39">
        <v>336801.38339999999</v>
      </c>
    </row>
    <row r="54" spans="1:41" ht="15" x14ac:dyDescent="0.25">
      <c r="A54" s="39">
        <f t="shared" si="18"/>
        <v>97656.923020418821</v>
      </c>
      <c r="B54" s="3">
        <v>2040</v>
      </c>
      <c r="C54" s="50">
        <f t="shared" ref="C54:N54" si="21">C36+C42+C48</f>
        <v>97656.923020418821</v>
      </c>
      <c r="D54" s="50">
        <f t="shared" si="21"/>
        <v>119650.46795872159</v>
      </c>
      <c r="E54" s="50">
        <f t="shared" si="21"/>
        <v>36318.823169657029</v>
      </c>
      <c r="F54" s="50">
        <f t="shared" si="21"/>
        <v>1010.2509569395279</v>
      </c>
      <c r="G54" s="50">
        <f t="shared" si="21"/>
        <v>25410.924666399413</v>
      </c>
      <c r="H54" s="50">
        <f t="shared" si="21"/>
        <v>103245.43850289244</v>
      </c>
      <c r="I54" s="50">
        <f t="shared" si="21"/>
        <v>5031.1702726312469</v>
      </c>
      <c r="J54" s="50">
        <f t="shared" si="21"/>
        <v>38636.575862118683</v>
      </c>
      <c r="K54" s="50">
        <f t="shared" si="21"/>
        <v>354.4916379718224</v>
      </c>
      <c r="L54" s="50">
        <f t="shared" si="21"/>
        <v>2636.092208713977</v>
      </c>
      <c r="M54" s="50">
        <f t="shared" si="21"/>
        <v>120.50707239835322</v>
      </c>
      <c r="N54" s="50">
        <f t="shared" si="21"/>
        <v>5131.5928329632079</v>
      </c>
      <c r="O54" s="50">
        <f t="shared" si="17"/>
        <v>0</v>
      </c>
      <c r="P54" s="56"/>
      <c r="Q54" s="39">
        <f>G54+N54</f>
        <v>30542.517499362621</v>
      </c>
      <c r="R54" s="5">
        <f>SUM(K54:L54)</f>
        <v>2990.5838466857995</v>
      </c>
      <c r="T54" s="5">
        <f t="shared" si="20"/>
        <v>435203.25816182618</v>
      </c>
      <c r="W54" s="18">
        <f>SUM(G54:L54)</f>
        <v>175314.6931507276</v>
      </c>
      <c r="X54" s="23">
        <f>W54/Inputs_Summary!G74</f>
        <v>0.40920169910843895</v>
      </c>
      <c r="Y54" s="39">
        <v>426628.23830000003</v>
      </c>
    </row>
    <row r="55" spans="1:41" ht="15" x14ac:dyDescent="0.25">
      <c r="A55" s="39">
        <f t="shared" si="18"/>
        <v>69371.226789998997</v>
      </c>
      <c r="B55" s="3">
        <v>2050</v>
      </c>
      <c r="C55" s="50">
        <f t="shared" ref="C55:N55" si="22">C37+C43+C49</f>
        <v>69371.226789998997</v>
      </c>
      <c r="D55" s="50">
        <f t="shared" si="22"/>
        <v>185272.50584087</v>
      </c>
      <c r="E55" s="50">
        <f t="shared" si="22"/>
        <v>82952.795748151286</v>
      </c>
      <c r="F55" s="50">
        <f t="shared" si="22"/>
        <v>775.44998846935857</v>
      </c>
      <c r="G55" s="50">
        <f t="shared" si="22"/>
        <v>28214.371299623315</v>
      </c>
      <c r="H55" s="50">
        <f t="shared" si="22"/>
        <v>110243.14002739381</v>
      </c>
      <c r="I55" s="50">
        <f t="shared" si="22"/>
        <v>0</v>
      </c>
      <c r="J55" s="50">
        <f t="shared" si="22"/>
        <v>44189.455182814905</v>
      </c>
      <c r="K55" s="50">
        <f t="shared" si="22"/>
        <v>0</v>
      </c>
      <c r="L55" s="50">
        <f t="shared" si="22"/>
        <v>1716.7770742097216</v>
      </c>
      <c r="M55" s="50">
        <f t="shared" si="22"/>
        <v>119.06515570986214</v>
      </c>
      <c r="N55" s="50">
        <f t="shared" si="22"/>
        <v>4101.1331411174733</v>
      </c>
      <c r="O55" s="50">
        <f t="shared" si="17"/>
        <v>0</v>
      </c>
      <c r="P55" s="56"/>
      <c r="Q55" s="39">
        <f>G55+N55</f>
        <v>32315.504440740788</v>
      </c>
      <c r="R55" s="5">
        <f>SUM(K55:L55)</f>
        <v>1716.7770742097216</v>
      </c>
      <c r="T55" s="5">
        <f t="shared" si="20"/>
        <v>526955.92024835874</v>
      </c>
      <c r="W55" s="18">
        <f>SUM(G55:L55)</f>
        <v>184363.74358404177</v>
      </c>
      <c r="X55" s="23">
        <f>W55/Inputs_Summary!G75</f>
        <v>0.35348588287047444</v>
      </c>
      <c r="Y55" s="39">
        <v>512512.68800000002</v>
      </c>
    </row>
    <row r="56" spans="1:41" ht="15" x14ac:dyDescent="0.25">
      <c r="V56" s="42"/>
    </row>
    <row r="57" spans="1:41" ht="15" x14ac:dyDescent="0.25">
      <c r="B57" s="3">
        <v>2016</v>
      </c>
      <c r="C57" s="23">
        <f t="shared" ref="C57:O60" si="23">IFERROR(C52/$T52,0)</f>
        <v>0.81102986535777721</v>
      </c>
      <c r="D57" s="23">
        <f t="shared" si="23"/>
        <v>6.1381856500855973E-2</v>
      </c>
      <c r="E57" s="23">
        <f t="shared" si="23"/>
        <v>3.1477059348297984E-3</v>
      </c>
      <c r="F57" s="23">
        <f t="shared" si="23"/>
        <v>8.4276419114014609E-3</v>
      </c>
      <c r="G57" s="23">
        <f t="shared" si="23"/>
        <v>6.5775064280442941E-2</v>
      </c>
      <c r="H57" s="23">
        <f t="shared" si="23"/>
        <v>1.6745329058228366E-2</v>
      </c>
      <c r="I57" s="23">
        <f t="shared" si="23"/>
        <v>3.445763298966707E-3</v>
      </c>
      <c r="J57" s="23">
        <f t="shared" si="23"/>
        <v>1.0987068888691099E-2</v>
      </c>
      <c r="K57" s="23">
        <f t="shared" si="23"/>
        <v>0</v>
      </c>
      <c r="L57" s="23">
        <f t="shared" si="23"/>
        <v>6.5934194781793283E-3</v>
      </c>
      <c r="M57" s="23">
        <f t="shared" si="23"/>
        <v>0</v>
      </c>
      <c r="N57" s="23">
        <f t="shared" si="23"/>
        <v>1.2466285290627077E-2</v>
      </c>
      <c r="O57" s="23">
        <f t="shared" si="23"/>
        <v>0</v>
      </c>
      <c r="P57" s="26"/>
      <c r="Q57" s="7">
        <f t="shared" ref="Q57:R60" si="24">Q52/$T52</f>
        <v>7.8241349571070026E-2</v>
      </c>
      <c r="R57" s="7">
        <f t="shared" si="24"/>
        <v>6.5934194781793283E-3</v>
      </c>
      <c r="T57" s="8">
        <f>SUM(C57:O57)</f>
        <v>0.99999999999999989</v>
      </c>
    </row>
    <row r="58" spans="1:41" ht="15" x14ac:dyDescent="0.25">
      <c r="B58" s="3">
        <v>2030</v>
      </c>
      <c r="C58" s="23">
        <f t="shared" si="23"/>
        <v>0.47328048496152952</v>
      </c>
      <c r="D58" s="23">
        <f t="shared" si="23"/>
        <v>0.1556306831429238</v>
      </c>
      <c r="E58" s="23">
        <f t="shared" si="23"/>
        <v>2.4268477500582895E-2</v>
      </c>
      <c r="F58" s="23">
        <f t="shared" si="23"/>
        <v>1.7428304966192589E-3</v>
      </c>
      <c r="G58" s="23">
        <f t="shared" si="23"/>
        <v>6.3863954301702039E-2</v>
      </c>
      <c r="H58" s="23">
        <f t="shared" si="23"/>
        <v>0.17961646071345305</v>
      </c>
      <c r="I58" s="23">
        <f t="shared" si="23"/>
        <v>1.4443926323152253E-2</v>
      </c>
      <c r="J58" s="23">
        <f t="shared" si="23"/>
        <v>6.4327349032408485E-2</v>
      </c>
      <c r="K58" s="23">
        <f t="shared" si="23"/>
        <v>1.0083935649335511E-3</v>
      </c>
      <c r="L58" s="23">
        <f t="shared" si="23"/>
        <v>7.3618559104686419E-3</v>
      </c>
      <c r="M58" s="23">
        <f t="shared" si="23"/>
        <v>3.4681743996269537E-4</v>
      </c>
      <c r="N58" s="23">
        <f t="shared" si="23"/>
        <v>1.4108766612263932E-2</v>
      </c>
      <c r="O58" s="23">
        <f t="shared" si="23"/>
        <v>0</v>
      </c>
      <c r="P58" s="26"/>
      <c r="Q58" s="7">
        <f t="shared" si="24"/>
        <v>7.7972720913965968E-2</v>
      </c>
      <c r="R58" s="7">
        <f t="shared" si="24"/>
        <v>8.3702494754021931E-3</v>
      </c>
      <c r="T58" s="8">
        <f t="shared" ref="T58:T60" si="25">SUM(C58:O58)</f>
        <v>1.0000000000000002</v>
      </c>
    </row>
    <row r="59" spans="1:41" ht="15" x14ac:dyDescent="0.25">
      <c r="B59" s="3">
        <v>2040</v>
      </c>
      <c r="C59" s="23">
        <f t="shared" si="23"/>
        <v>0.22439382332038063</v>
      </c>
      <c r="D59" s="23">
        <f t="shared" si="23"/>
        <v>0.27493008316181011</v>
      </c>
      <c r="E59" s="23">
        <f t="shared" si="23"/>
        <v>8.3452553464460094E-2</v>
      </c>
      <c r="F59" s="23">
        <f t="shared" si="23"/>
        <v>2.3213313273584817E-3</v>
      </c>
      <c r="G59" s="23">
        <f t="shared" si="23"/>
        <v>5.8388636090933407E-2</v>
      </c>
      <c r="H59" s="23">
        <f t="shared" si="23"/>
        <v>0.23723498518593722</v>
      </c>
      <c r="I59" s="23">
        <f t="shared" si="23"/>
        <v>1.1560506908614307E-2</v>
      </c>
      <c r="J59" s="23">
        <f t="shared" si="23"/>
        <v>8.8778232096212939E-2</v>
      </c>
      <c r="K59" s="23">
        <f t="shared" si="23"/>
        <v>8.1454270234348309E-4</v>
      </c>
      <c r="L59" s="23">
        <f t="shared" si="23"/>
        <v>6.0571518233757601E-3</v>
      </c>
      <c r="M59" s="23">
        <f t="shared" si="23"/>
        <v>2.7689836906860611E-4</v>
      </c>
      <c r="N59" s="23">
        <f t="shared" si="23"/>
        <v>1.1791255549504812E-2</v>
      </c>
      <c r="O59" s="23">
        <f t="shared" si="23"/>
        <v>0</v>
      </c>
      <c r="P59" s="26"/>
      <c r="Q59" s="7">
        <f t="shared" si="24"/>
        <v>7.0179891640438224E-2</v>
      </c>
      <c r="R59" s="7">
        <f t="shared" si="24"/>
        <v>6.8716945257192436E-3</v>
      </c>
      <c r="T59" s="8">
        <f t="shared" si="25"/>
        <v>0.99999999999999978</v>
      </c>
    </row>
    <row r="60" spans="1:41" ht="15" x14ac:dyDescent="0.25">
      <c r="B60" s="3">
        <v>2050</v>
      </c>
      <c r="C60" s="23">
        <f t="shared" si="23"/>
        <v>0.13164521760625397</v>
      </c>
      <c r="D60" s="23">
        <f t="shared" si="23"/>
        <v>0.35159014012699491</v>
      </c>
      <c r="E60" s="23">
        <f t="shared" si="23"/>
        <v>0.15741885148392476</v>
      </c>
      <c r="F60" s="23">
        <f t="shared" si="23"/>
        <v>1.471565189179168E-3</v>
      </c>
      <c r="G60" s="23">
        <f t="shared" si="23"/>
        <v>5.3542184868756469E-2</v>
      </c>
      <c r="H60" s="23">
        <f t="shared" si="23"/>
        <v>0.20920751772830504</v>
      </c>
      <c r="I60" s="23">
        <f t="shared" si="23"/>
        <v>0</v>
      </c>
      <c r="J60" s="23">
        <f t="shared" si="23"/>
        <v>8.3857972716177176E-2</v>
      </c>
      <c r="K60" s="23">
        <f t="shared" si="23"/>
        <v>0</v>
      </c>
      <c r="L60" s="23">
        <f t="shared" si="23"/>
        <v>3.2579140080646407E-3</v>
      </c>
      <c r="M60" s="23">
        <f t="shared" si="23"/>
        <v>2.2594898574010845E-4</v>
      </c>
      <c r="N60" s="23">
        <f t="shared" si="23"/>
        <v>7.7826872866037355E-3</v>
      </c>
      <c r="O60" s="23">
        <f t="shared" si="23"/>
        <v>0</v>
      </c>
      <c r="P60" s="26"/>
      <c r="Q60" s="7">
        <f t="shared" si="24"/>
        <v>6.1324872155360206E-2</v>
      </c>
      <c r="R60" s="7">
        <f t="shared" si="24"/>
        <v>3.2579140080646407E-3</v>
      </c>
      <c r="T60" s="8">
        <f t="shared" si="25"/>
        <v>0.99999999999999989</v>
      </c>
    </row>
    <row r="62" spans="1:41" s="9" customFormat="1" ht="21" x14ac:dyDescent="0.35">
      <c r="B62" s="10" t="s">
        <v>12</v>
      </c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</row>
    <row r="63" spans="1:41" s="32" customFormat="1" ht="21" x14ac:dyDescent="0.35">
      <c r="B63" s="31"/>
      <c r="P63" s="58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</row>
    <row r="64" spans="1:41" ht="30" x14ac:dyDescent="0.25">
      <c r="B64" s="43" t="s">
        <v>37</v>
      </c>
      <c r="C64" s="43" t="s">
        <v>0</v>
      </c>
      <c r="D64" s="43" t="s">
        <v>1</v>
      </c>
      <c r="E64" s="43" t="s">
        <v>28</v>
      </c>
      <c r="F64" s="2" t="s">
        <v>29</v>
      </c>
      <c r="G64" s="2" t="s">
        <v>6</v>
      </c>
      <c r="H64" s="43" t="s">
        <v>2</v>
      </c>
      <c r="I64" s="43" t="s">
        <v>3</v>
      </c>
      <c r="J64" s="43" t="s">
        <v>4</v>
      </c>
      <c r="K64" s="43" t="s">
        <v>9</v>
      </c>
      <c r="L64" s="43" t="s">
        <v>8</v>
      </c>
      <c r="M64" s="43" t="s">
        <v>25</v>
      </c>
      <c r="N64" s="43" t="s">
        <v>7</v>
      </c>
      <c r="O64" s="43" t="s">
        <v>89</v>
      </c>
      <c r="P64" s="25"/>
      <c r="Q64" s="43" t="s">
        <v>5</v>
      </c>
      <c r="R64" s="43" t="s">
        <v>91</v>
      </c>
      <c r="T64" s="43"/>
    </row>
    <row r="65" spans="2:20" ht="15" x14ac:dyDescent="0.25">
      <c r="B65" s="3">
        <v>2016</v>
      </c>
      <c r="C65" s="23">
        <f t="shared" ref="C65:O65" si="26">IFERROR(C34/(8.76*C4),0)</f>
        <v>0.61670682155154666</v>
      </c>
      <c r="D65" s="23">
        <f t="shared" si="26"/>
        <v>0.90488773776270071</v>
      </c>
      <c r="E65" s="23">
        <f t="shared" si="26"/>
        <v>0.20327398012747969</v>
      </c>
      <c r="F65" s="23">
        <f t="shared" si="26"/>
        <v>6.7588779038524713E-2</v>
      </c>
      <c r="G65" s="23">
        <f t="shared" si="26"/>
        <v>0.82769756710584552</v>
      </c>
      <c r="H65" s="23">
        <f t="shared" si="26"/>
        <v>0.35157512265710944</v>
      </c>
      <c r="I65" s="23">
        <f t="shared" si="26"/>
        <v>0.47241434111308539</v>
      </c>
      <c r="J65" s="23">
        <f t="shared" si="26"/>
        <v>0.20369543738680201</v>
      </c>
      <c r="K65" s="23">
        <f t="shared" si="26"/>
        <v>0</v>
      </c>
      <c r="L65" s="23">
        <f t="shared" si="26"/>
        <v>0.68481680259532229</v>
      </c>
      <c r="M65" s="23">
        <f t="shared" si="26"/>
        <v>0</v>
      </c>
      <c r="N65" s="23">
        <f t="shared" si="26"/>
        <v>0.21634536847565858</v>
      </c>
      <c r="O65" s="23">
        <f t="shared" si="26"/>
        <v>0</v>
      </c>
      <c r="P65" s="26"/>
      <c r="Q65" s="6">
        <f t="shared" ref="Q65:R68" si="27">IFERROR(Q34/(8.76*Q4),0)</f>
        <v>0.57073122663346065</v>
      </c>
      <c r="R65" s="6">
        <f t="shared" si="27"/>
        <v>0.68481680259532229</v>
      </c>
      <c r="S65" s="5"/>
      <c r="T65" s="5"/>
    </row>
    <row r="66" spans="2:20" ht="15" x14ac:dyDescent="0.25">
      <c r="B66" s="3">
        <v>2030</v>
      </c>
      <c r="C66" s="23">
        <f t="shared" ref="C66:O66" si="28">IFERROR(C35/(8.76*C5),0)</f>
        <v>0.52012416178823695</v>
      </c>
      <c r="D66" s="23">
        <f t="shared" si="28"/>
        <v>0.88503246361334698</v>
      </c>
      <c r="E66" s="23">
        <f t="shared" si="28"/>
        <v>0.59506432183419378</v>
      </c>
      <c r="F66" s="23">
        <f t="shared" si="28"/>
        <v>3.367802992549311E-3</v>
      </c>
      <c r="G66" s="23">
        <f t="shared" si="28"/>
        <v>0.59703080036514722</v>
      </c>
      <c r="H66" s="23">
        <f t="shared" si="28"/>
        <v>0.36597730321717159</v>
      </c>
      <c r="I66" s="23">
        <f t="shared" si="28"/>
        <v>0.47913070966545457</v>
      </c>
      <c r="J66" s="23">
        <f t="shared" si="28"/>
        <v>0.20248225012623866</v>
      </c>
      <c r="K66" s="23">
        <f t="shared" si="28"/>
        <v>0</v>
      </c>
      <c r="L66" s="23">
        <f t="shared" si="28"/>
        <v>0.67214846048285359</v>
      </c>
      <c r="M66" s="23">
        <f t="shared" si="28"/>
        <v>0</v>
      </c>
      <c r="N66" s="23">
        <f t="shared" si="28"/>
        <v>0.16669389010001356</v>
      </c>
      <c r="O66" s="23">
        <f t="shared" si="28"/>
        <v>0</v>
      </c>
      <c r="P66" s="26"/>
      <c r="Q66" s="6">
        <f t="shared" si="27"/>
        <v>0.41614963031489155</v>
      </c>
      <c r="R66" s="6">
        <f t="shared" si="27"/>
        <v>0.67214846048285359</v>
      </c>
      <c r="S66" s="5"/>
      <c r="T66" s="5"/>
    </row>
    <row r="67" spans="2:20" ht="15" x14ac:dyDescent="0.25">
      <c r="B67" s="3">
        <v>2040</v>
      </c>
      <c r="C67" s="23">
        <f t="shared" ref="C67:O67" si="29">IFERROR(C36/(8.76*C6),0)</f>
        <v>0.5219603760115713</v>
      </c>
      <c r="D67" s="23">
        <f t="shared" si="29"/>
        <v>0.85405031332546755</v>
      </c>
      <c r="E67" s="23">
        <f t="shared" si="29"/>
        <v>0.59748720260656207</v>
      </c>
      <c r="F67" s="23">
        <f t="shared" si="29"/>
        <v>9.9238541866928029E-3</v>
      </c>
      <c r="G67" s="23">
        <f t="shared" si="29"/>
        <v>0.62627182161796802</v>
      </c>
      <c r="H67" s="23">
        <f t="shared" si="29"/>
        <v>0</v>
      </c>
      <c r="I67" s="23">
        <f t="shared" si="29"/>
        <v>0.48892947467558651</v>
      </c>
      <c r="J67" s="23">
        <f t="shared" si="29"/>
        <v>0.20371237898652672</v>
      </c>
      <c r="K67" s="23">
        <f t="shared" si="29"/>
        <v>0</v>
      </c>
      <c r="L67" s="23">
        <f t="shared" si="29"/>
        <v>0.69173385658301301</v>
      </c>
      <c r="M67" s="23">
        <f t="shared" si="29"/>
        <v>0</v>
      </c>
      <c r="N67" s="23">
        <f t="shared" si="29"/>
        <v>0.17166621708674337</v>
      </c>
      <c r="O67" s="23">
        <f t="shared" si="29"/>
        <v>0</v>
      </c>
      <c r="P67" s="26"/>
      <c r="Q67" s="6">
        <f t="shared" si="27"/>
        <v>0.43518992346438073</v>
      </c>
      <c r="R67" s="6">
        <f t="shared" si="27"/>
        <v>0.69173385658301301</v>
      </c>
      <c r="S67" s="5"/>
      <c r="T67" s="5"/>
    </row>
    <row r="68" spans="2:20" ht="15" x14ac:dyDescent="0.25">
      <c r="B68" s="3">
        <v>2050</v>
      </c>
      <c r="C68" s="23">
        <f t="shared" ref="C68:O68" si="30">IFERROR(C37/(8.76*C7),0)</f>
        <v>0</v>
      </c>
      <c r="D68" s="23">
        <f t="shared" si="30"/>
        <v>0</v>
      </c>
      <c r="E68" s="23">
        <f t="shared" si="30"/>
        <v>0.61696605868092869</v>
      </c>
      <c r="F68" s="23">
        <f t="shared" si="30"/>
        <v>0</v>
      </c>
      <c r="G68" s="23">
        <f t="shared" si="30"/>
        <v>0.65794234505646976</v>
      </c>
      <c r="H68" s="23">
        <f t="shared" si="30"/>
        <v>0</v>
      </c>
      <c r="I68" s="23">
        <f t="shared" si="30"/>
        <v>0</v>
      </c>
      <c r="J68" s="23">
        <f t="shared" si="30"/>
        <v>0</v>
      </c>
      <c r="K68" s="23">
        <f t="shared" si="30"/>
        <v>0</v>
      </c>
      <c r="L68" s="23">
        <f t="shared" si="30"/>
        <v>0.74234514416844888</v>
      </c>
      <c r="M68" s="23">
        <f t="shared" si="30"/>
        <v>0</v>
      </c>
      <c r="N68" s="23">
        <f t="shared" si="30"/>
        <v>0.1267578577567291</v>
      </c>
      <c r="O68" s="23">
        <f t="shared" si="30"/>
        <v>0</v>
      </c>
      <c r="P68" s="26"/>
      <c r="Q68" s="6">
        <f t="shared" si="27"/>
        <v>0.43467246212654426</v>
      </c>
      <c r="R68" s="6">
        <f t="shared" si="27"/>
        <v>0.74234514416844888</v>
      </c>
      <c r="S68" s="5"/>
      <c r="T68" s="5"/>
    </row>
    <row r="69" spans="2:20" ht="15" x14ac:dyDescent="0.25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28"/>
      <c r="Q69" s="5"/>
      <c r="R69" s="5"/>
      <c r="S69" s="5"/>
      <c r="T69" s="5"/>
    </row>
    <row r="70" spans="2:20" ht="30" x14ac:dyDescent="0.25">
      <c r="B70" s="43" t="s">
        <v>38</v>
      </c>
      <c r="C70" s="43" t="s">
        <v>0</v>
      </c>
      <c r="D70" s="43" t="s">
        <v>1</v>
      </c>
      <c r="E70" s="43" t="s">
        <v>28</v>
      </c>
      <c r="F70" s="2" t="s">
        <v>29</v>
      </c>
      <c r="G70" s="2" t="s">
        <v>6</v>
      </c>
      <c r="H70" s="43" t="s">
        <v>2</v>
      </c>
      <c r="I70" s="43" t="s">
        <v>3</v>
      </c>
      <c r="J70" s="43" t="s">
        <v>4</v>
      </c>
      <c r="K70" s="43" t="s">
        <v>9</v>
      </c>
      <c r="L70" s="43" t="s">
        <v>8</v>
      </c>
      <c r="M70" s="43" t="s">
        <v>25</v>
      </c>
      <c r="N70" s="43" t="s">
        <v>7</v>
      </c>
      <c r="O70" s="43" t="s">
        <v>89</v>
      </c>
      <c r="P70" s="25"/>
      <c r="Q70" s="43" t="s">
        <v>5</v>
      </c>
      <c r="R70" s="43" t="s">
        <v>91</v>
      </c>
      <c r="T70" s="43"/>
    </row>
    <row r="71" spans="2:20" ht="15" x14ac:dyDescent="0.25">
      <c r="B71" s="3">
        <v>2016</v>
      </c>
      <c r="C71" s="23">
        <f t="shared" ref="C71:O71" si="31">IFERROR(C40/(8.76*C10),0)</f>
        <v>0</v>
      </c>
      <c r="D71" s="23">
        <f t="shared" si="31"/>
        <v>0</v>
      </c>
      <c r="E71" s="23">
        <f t="shared" si="31"/>
        <v>0</v>
      </c>
      <c r="F71" s="23">
        <f t="shared" si="31"/>
        <v>0</v>
      </c>
      <c r="G71" s="23">
        <f t="shared" si="31"/>
        <v>0</v>
      </c>
      <c r="H71" s="23">
        <f t="shared" si="31"/>
        <v>0</v>
      </c>
      <c r="I71" s="23">
        <f t="shared" si="31"/>
        <v>0</v>
      </c>
      <c r="J71" s="23">
        <f t="shared" si="31"/>
        <v>0</v>
      </c>
      <c r="K71" s="23">
        <f t="shared" si="31"/>
        <v>0</v>
      </c>
      <c r="L71" s="23">
        <f t="shared" si="31"/>
        <v>0</v>
      </c>
      <c r="M71" s="23">
        <f t="shared" si="31"/>
        <v>0</v>
      </c>
      <c r="N71" s="23">
        <f t="shared" si="31"/>
        <v>0</v>
      </c>
      <c r="O71" s="23">
        <f t="shared" si="31"/>
        <v>0</v>
      </c>
      <c r="P71" s="26"/>
      <c r="Q71" s="7">
        <f t="shared" ref="Q71:R74" si="32">IFERROR(Q40/(8.76*Q10),0)</f>
        <v>0</v>
      </c>
      <c r="R71" s="7">
        <f t="shared" si="32"/>
        <v>0</v>
      </c>
      <c r="S71" s="5"/>
      <c r="T71" s="5"/>
    </row>
    <row r="72" spans="2:20" ht="15" x14ac:dyDescent="0.25">
      <c r="B72" s="3">
        <v>2030</v>
      </c>
      <c r="C72" s="23">
        <f t="shared" ref="C72:O72" si="33">IFERROR(C41/(8.76*C11),0)</f>
        <v>0.72395909030750094</v>
      </c>
      <c r="D72" s="23">
        <f t="shared" si="33"/>
        <v>0</v>
      </c>
      <c r="E72" s="23">
        <f t="shared" si="33"/>
        <v>0</v>
      </c>
      <c r="F72" s="23">
        <f t="shared" si="33"/>
        <v>0</v>
      </c>
      <c r="G72" s="23">
        <f t="shared" si="33"/>
        <v>0.49161514694983866</v>
      </c>
      <c r="H72" s="23">
        <f t="shared" si="33"/>
        <v>0.36602226232210822</v>
      </c>
      <c r="I72" s="23">
        <f t="shared" si="33"/>
        <v>0.56614887371805411</v>
      </c>
      <c r="J72" s="23">
        <f t="shared" si="33"/>
        <v>0.20253774812993885</v>
      </c>
      <c r="K72" s="23">
        <f t="shared" si="33"/>
        <v>0.76012391638619548</v>
      </c>
      <c r="L72" s="23">
        <f t="shared" si="33"/>
        <v>0.76253618768380549</v>
      </c>
      <c r="M72" s="23">
        <f t="shared" si="33"/>
        <v>0</v>
      </c>
      <c r="N72" s="23">
        <f t="shared" si="33"/>
        <v>0.225440160736777</v>
      </c>
      <c r="O72" s="23">
        <f t="shared" si="33"/>
        <v>0</v>
      </c>
      <c r="P72" s="26"/>
      <c r="Q72" s="7">
        <f t="shared" si="32"/>
        <v>0.23413868969798818</v>
      </c>
      <c r="R72" s="7">
        <f t="shared" si="32"/>
        <v>0.7619155547771389</v>
      </c>
      <c r="S72" s="5"/>
      <c r="T72" s="5"/>
    </row>
    <row r="73" spans="2:20" ht="15" x14ac:dyDescent="0.25">
      <c r="B73" s="3">
        <v>2040</v>
      </c>
      <c r="C73" s="23">
        <f t="shared" ref="C73:O73" si="34">IFERROR(C42/(8.76*C12),0)</f>
        <v>0.74977287047593699</v>
      </c>
      <c r="D73" s="23">
        <f t="shared" si="34"/>
        <v>0</v>
      </c>
      <c r="E73" s="23">
        <f t="shared" si="34"/>
        <v>0</v>
      </c>
      <c r="F73" s="23">
        <f t="shared" si="34"/>
        <v>0</v>
      </c>
      <c r="G73" s="23">
        <f t="shared" si="34"/>
        <v>0.49931054858103402</v>
      </c>
      <c r="H73" s="23">
        <f t="shared" si="34"/>
        <v>0</v>
      </c>
      <c r="I73" s="23">
        <f t="shared" si="34"/>
        <v>0.56064542479178348</v>
      </c>
      <c r="J73" s="23">
        <f t="shared" si="34"/>
        <v>0.20371415962688008</v>
      </c>
      <c r="K73" s="23">
        <f t="shared" si="34"/>
        <v>0.76352984830667359</v>
      </c>
      <c r="L73" s="23">
        <f t="shared" si="34"/>
        <v>0.77324202601384617</v>
      </c>
      <c r="M73" s="23">
        <f t="shared" si="34"/>
        <v>0</v>
      </c>
      <c r="N73" s="23">
        <f t="shared" si="34"/>
        <v>0.23616039459913771</v>
      </c>
      <c r="O73" s="23">
        <f t="shared" si="34"/>
        <v>0</v>
      </c>
      <c r="P73" s="26"/>
      <c r="Q73" s="7">
        <f t="shared" si="32"/>
        <v>0.24476007283384019</v>
      </c>
      <c r="R73" s="7">
        <f t="shared" si="32"/>
        <v>0.7707432618464668</v>
      </c>
      <c r="S73" s="5"/>
      <c r="T73" s="5"/>
    </row>
    <row r="74" spans="2:20" ht="15" x14ac:dyDescent="0.25">
      <c r="B74" s="3">
        <v>2050</v>
      </c>
      <c r="C74" s="23">
        <f t="shared" ref="C74:O74" si="35">IFERROR(C43/(8.76*C13),0)</f>
        <v>0.83044146562604138</v>
      </c>
      <c r="D74" s="23">
        <f t="shared" si="35"/>
        <v>0</v>
      </c>
      <c r="E74" s="23">
        <f t="shared" si="35"/>
        <v>0</v>
      </c>
      <c r="F74" s="23">
        <f t="shared" si="35"/>
        <v>0</v>
      </c>
      <c r="G74" s="23">
        <f t="shared" si="35"/>
        <v>0.48791481674805931</v>
      </c>
      <c r="H74" s="23">
        <f t="shared" si="35"/>
        <v>0</v>
      </c>
      <c r="I74" s="23">
        <f t="shared" si="35"/>
        <v>0</v>
      </c>
      <c r="J74" s="23">
        <f t="shared" si="35"/>
        <v>0</v>
      </c>
      <c r="K74" s="23">
        <f t="shared" si="35"/>
        <v>0</v>
      </c>
      <c r="L74" s="23">
        <f t="shared" si="35"/>
        <v>0</v>
      </c>
      <c r="M74" s="23">
        <f t="shared" si="35"/>
        <v>0</v>
      </c>
      <c r="N74" s="23">
        <f t="shared" si="35"/>
        <v>0.20111746879397699</v>
      </c>
      <c r="O74" s="23">
        <f t="shared" si="35"/>
        <v>0</v>
      </c>
      <c r="P74" s="26"/>
      <c r="Q74" s="7">
        <f t="shared" si="32"/>
        <v>0.21048993114541756</v>
      </c>
      <c r="R74" s="7">
        <f t="shared" si="32"/>
        <v>0</v>
      </c>
      <c r="S74" s="5"/>
      <c r="T74" s="5"/>
    </row>
    <row r="75" spans="2:20" ht="15" x14ac:dyDescent="0.25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28"/>
      <c r="Q75" s="5"/>
      <c r="R75" s="5"/>
      <c r="S75" s="5"/>
      <c r="T75" s="5"/>
    </row>
    <row r="76" spans="2:20" ht="30" x14ac:dyDescent="0.25">
      <c r="B76" s="43" t="s">
        <v>43</v>
      </c>
      <c r="C76" s="43" t="s">
        <v>0</v>
      </c>
      <c r="D76" s="43" t="s">
        <v>1</v>
      </c>
      <c r="E76" s="43" t="s">
        <v>28</v>
      </c>
      <c r="F76" s="2" t="s">
        <v>29</v>
      </c>
      <c r="G76" s="2" t="s">
        <v>6</v>
      </c>
      <c r="H76" s="43" t="s">
        <v>2</v>
      </c>
      <c r="I76" s="43" t="s">
        <v>3</v>
      </c>
      <c r="J76" s="43" t="s">
        <v>4</v>
      </c>
      <c r="K76" s="43" t="s">
        <v>9</v>
      </c>
      <c r="L76" s="43" t="s">
        <v>8</v>
      </c>
      <c r="M76" s="43" t="s">
        <v>25</v>
      </c>
      <c r="N76" s="43" t="s">
        <v>7</v>
      </c>
      <c r="O76" s="43" t="s">
        <v>89</v>
      </c>
      <c r="P76" s="25"/>
      <c r="Q76" s="43" t="s">
        <v>5</v>
      </c>
      <c r="R76" s="43" t="s">
        <v>91</v>
      </c>
      <c r="T76" s="43"/>
    </row>
    <row r="77" spans="2:20" ht="15" x14ac:dyDescent="0.25">
      <c r="B77" s="3">
        <v>2016</v>
      </c>
      <c r="C77" s="23">
        <f t="shared" ref="C77:O77" si="36">IFERROR(C46/(8.76*C16),0)</f>
        <v>0</v>
      </c>
      <c r="D77" s="23">
        <f t="shared" si="36"/>
        <v>0</v>
      </c>
      <c r="E77" s="23">
        <f t="shared" si="36"/>
        <v>0</v>
      </c>
      <c r="F77" s="23">
        <f t="shared" si="36"/>
        <v>0</v>
      </c>
      <c r="G77" s="23">
        <f t="shared" si="36"/>
        <v>0</v>
      </c>
      <c r="H77" s="23">
        <f t="shared" si="36"/>
        <v>0</v>
      </c>
      <c r="I77" s="23">
        <f t="shared" si="36"/>
        <v>0</v>
      </c>
      <c r="J77" s="23">
        <f t="shared" si="36"/>
        <v>0</v>
      </c>
      <c r="K77" s="23">
        <f t="shared" si="36"/>
        <v>0</v>
      </c>
      <c r="L77" s="23">
        <f t="shared" si="36"/>
        <v>0</v>
      </c>
      <c r="M77" s="23">
        <f t="shared" si="36"/>
        <v>0</v>
      </c>
      <c r="N77" s="23">
        <f t="shared" si="36"/>
        <v>0</v>
      </c>
      <c r="O77" s="23">
        <f t="shared" si="36"/>
        <v>0</v>
      </c>
      <c r="P77" s="26"/>
      <c r="Q77" s="7">
        <f t="shared" ref="Q77:R80" si="37">IFERROR(Q46/(8.76*Q16),0)</f>
        <v>0</v>
      </c>
      <c r="R77" s="7">
        <f t="shared" si="37"/>
        <v>0</v>
      </c>
      <c r="S77" s="5"/>
      <c r="T77" s="5"/>
    </row>
    <row r="78" spans="2:20" ht="15" x14ac:dyDescent="0.25">
      <c r="B78" s="3">
        <v>2030</v>
      </c>
      <c r="C78" s="23">
        <f t="shared" ref="C78:O78" si="38">IFERROR(C47/(8.76*C17),0)</f>
        <v>0</v>
      </c>
      <c r="D78" s="23">
        <f t="shared" si="38"/>
        <v>0.84096348464380299</v>
      </c>
      <c r="E78" s="23">
        <f t="shared" si="38"/>
        <v>0.19587194519651577</v>
      </c>
      <c r="F78" s="23">
        <f t="shared" si="38"/>
        <v>8.8035501617459849E-3</v>
      </c>
      <c r="G78" s="23">
        <f t="shared" si="38"/>
        <v>0.49135640213565451</v>
      </c>
      <c r="H78" s="23">
        <f t="shared" si="38"/>
        <v>0.36600455559173667</v>
      </c>
      <c r="I78" s="23">
        <f t="shared" si="38"/>
        <v>0</v>
      </c>
      <c r="J78" s="23">
        <f t="shared" si="38"/>
        <v>0.20250055303204692</v>
      </c>
      <c r="K78" s="23">
        <f t="shared" si="38"/>
        <v>0</v>
      </c>
      <c r="L78" s="23">
        <f t="shared" si="38"/>
        <v>0</v>
      </c>
      <c r="M78" s="23">
        <f t="shared" si="38"/>
        <v>1.3855784799559926E-2</v>
      </c>
      <c r="N78" s="23">
        <f t="shared" si="38"/>
        <v>0</v>
      </c>
      <c r="O78" s="23">
        <f t="shared" si="38"/>
        <v>0</v>
      </c>
      <c r="P78" s="26"/>
      <c r="Q78" s="7">
        <f t="shared" si="37"/>
        <v>0.49135640213565451</v>
      </c>
      <c r="R78" s="7">
        <f t="shared" si="37"/>
        <v>0</v>
      </c>
      <c r="S78" s="5"/>
      <c r="T78" s="5"/>
    </row>
    <row r="79" spans="2:20" ht="15" x14ac:dyDescent="0.25">
      <c r="B79" s="3">
        <v>2040</v>
      </c>
      <c r="C79" s="23">
        <f t="shared" ref="C79:O79" si="39">IFERROR(C48/(8.76*C18),0)</f>
        <v>0</v>
      </c>
      <c r="D79" s="23">
        <f t="shared" si="39"/>
        <v>0.8074249539264684</v>
      </c>
      <c r="E79" s="23">
        <f t="shared" si="39"/>
        <v>0.20451299463383185</v>
      </c>
      <c r="F79" s="23">
        <f t="shared" si="39"/>
        <v>1.4511291769669324E-2</v>
      </c>
      <c r="G79" s="23">
        <f t="shared" si="39"/>
        <v>0.60547008521607915</v>
      </c>
      <c r="H79" s="23">
        <f t="shared" si="39"/>
        <v>0.3518211630303702</v>
      </c>
      <c r="I79" s="23">
        <f t="shared" si="39"/>
        <v>0</v>
      </c>
      <c r="J79" s="23">
        <f t="shared" si="39"/>
        <v>0.20375281062915798</v>
      </c>
      <c r="K79" s="23">
        <f t="shared" si="39"/>
        <v>0</v>
      </c>
      <c r="L79" s="23">
        <f t="shared" si="39"/>
        <v>0</v>
      </c>
      <c r="M79" s="23">
        <f t="shared" si="39"/>
        <v>1.3756515113967261E-2</v>
      </c>
      <c r="N79" s="23">
        <f t="shared" si="39"/>
        <v>0</v>
      </c>
      <c r="O79" s="23">
        <f t="shared" si="39"/>
        <v>0</v>
      </c>
      <c r="P79" s="26"/>
      <c r="Q79" s="7">
        <f t="shared" si="37"/>
        <v>0.60547008521607915</v>
      </c>
      <c r="R79" s="7">
        <f t="shared" si="37"/>
        <v>0</v>
      </c>
      <c r="S79" s="5"/>
      <c r="T79" s="5"/>
    </row>
    <row r="80" spans="2:20" ht="15" x14ac:dyDescent="0.25">
      <c r="B80" s="3">
        <v>2050</v>
      </c>
      <c r="C80" s="23">
        <f t="shared" ref="C80:O80" si="40">IFERROR(C49/(8.76*C19),0)</f>
        <v>0</v>
      </c>
      <c r="D80" s="23">
        <f t="shared" si="40"/>
        <v>0.81909412624953604</v>
      </c>
      <c r="E80" s="23">
        <f t="shared" si="40"/>
        <v>0.27952439110528837</v>
      </c>
      <c r="F80" s="23">
        <f t="shared" si="40"/>
        <v>8.5976775622993041E-3</v>
      </c>
      <c r="G80" s="23">
        <f t="shared" si="40"/>
        <v>0.70608244195112013</v>
      </c>
      <c r="H80" s="23">
        <f t="shared" si="40"/>
        <v>0.34957870379056888</v>
      </c>
      <c r="I80" s="23">
        <f t="shared" si="40"/>
        <v>0</v>
      </c>
      <c r="J80" s="23">
        <f t="shared" si="40"/>
        <v>0.20234489988779042</v>
      </c>
      <c r="K80" s="23">
        <f t="shared" si="40"/>
        <v>0</v>
      </c>
      <c r="L80" s="23">
        <f t="shared" si="40"/>
        <v>0</v>
      </c>
      <c r="M80" s="23">
        <f t="shared" si="40"/>
        <v>1.3591912752267368E-2</v>
      </c>
      <c r="N80" s="23">
        <f t="shared" si="40"/>
        <v>0</v>
      </c>
      <c r="O80" s="23">
        <f t="shared" si="40"/>
        <v>0</v>
      </c>
      <c r="P80" s="26"/>
      <c r="Q80" s="7">
        <f t="shared" si="37"/>
        <v>0.70608244195112013</v>
      </c>
      <c r="R80" s="7">
        <f t="shared" si="37"/>
        <v>0</v>
      </c>
      <c r="S80" s="5"/>
      <c r="T80" s="5"/>
    </row>
    <row r="81" spans="1:58" ht="15" x14ac:dyDescent="0.25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28"/>
    </row>
    <row r="82" spans="1:58" ht="30" x14ac:dyDescent="0.25">
      <c r="B82" s="43" t="s">
        <v>52</v>
      </c>
      <c r="C82" s="43" t="s">
        <v>0</v>
      </c>
      <c r="D82" s="43" t="s">
        <v>1</v>
      </c>
      <c r="E82" s="43" t="s">
        <v>28</v>
      </c>
      <c r="F82" s="2" t="s">
        <v>29</v>
      </c>
      <c r="G82" s="2" t="s">
        <v>6</v>
      </c>
      <c r="H82" s="43" t="s">
        <v>2</v>
      </c>
      <c r="I82" s="43" t="s">
        <v>3</v>
      </c>
      <c r="J82" s="43" t="s">
        <v>4</v>
      </c>
      <c r="K82" s="43" t="s">
        <v>9</v>
      </c>
      <c r="L82" s="43" t="s">
        <v>8</v>
      </c>
      <c r="M82" s="43" t="s">
        <v>25</v>
      </c>
      <c r="N82" s="43" t="s">
        <v>7</v>
      </c>
      <c r="O82" s="43" t="s">
        <v>89</v>
      </c>
      <c r="P82" s="25"/>
      <c r="Q82" s="43" t="s">
        <v>5</v>
      </c>
      <c r="R82" s="43" t="s">
        <v>91</v>
      </c>
      <c r="T82" s="43"/>
    </row>
    <row r="83" spans="1:58" ht="15" x14ac:dyDescent="0.25">
      <c r="B83" s="3">
        <v>2016</v>
      </c>
      <c r="C83" s="23">
        <f t="shared" ref="C83:O83" si="41">IFERROR(C52/(8.76*C22),0)</f>
        <v>0.60460138070656211</v>
      </c>
      <c r="D83" s="23">
        <f t="shared" si="41"/>
        <v>0.90488773776270071</v>
      </c>
      <c r="E83" s="23">
        <f t="shared" si="41"/>
        <v>0.20327398012747969</v>
      </c>
      <c r="F83" s="23">
        <f t="shared" si="41"/>
        <v>6.7588779038524713E-2</v>
      </c>
      <c r="G83" s="23">
        <f t="shared" si="41"/>
        <v>0.82769756710584552</v>
      </c>
      <c r="H83" s="23">
        <f t="shared" si="41"/>
        <v>0.31449117136314036</v>
      </c>
      <c r="I83" s="23">
        <f t="shared" si="41"/>
        <v>0.47241434111308539</v>
      </c>
      <c r="J83" s="23">
        <f t="shared" si="41"/>
        <v>0.20369543738680201</v>
      </c>
      <c r="K83" s="23">
        <f t="shared" si="41"/>
        <v>0</v>
      </c>
      <c r="L83" s="23">
        <f t="shared" si="41"/>
        <v>0.68481680259532229</v>
      </c>
      <c r="M83" s="23">
        <f t="shared" si="41"/>
        <v>0</v>
      </c>
      <c r="N83" s="23">
        <f t="shared" si="41"/>
        <v>0.21634536847565858</v>
      </c>
      <c r="O83" s="23">
        <f t="shared" si="41"/>
        <v>0</v>
      </c>
      <c r="P83" s="26"/>
      <c r="Q83" s="7">
        <f t="shared" ref="Q83:R86" si="42">IFERROR(Q52/(8.76*Q22),0)</f>
        <v>0.57073122663346065</v>
      </c>
      <c r="R83" s="7">
        <f t="shared" si="42"/>
        <v>0.68481680259532229</v>
      </c>
      <c r="S83" s="5"/>
      <c r="T83" s="5"/>
    </row>
    <row r="84" spans="1:58" ht="15" x14ac:dyDescent="0.25">
      <c r="B84" s="3">
        <v>2030</v>
      </c>
      <c r="C84" s="23">
        <f t="shared" ref="C84:O84" si="43">IFERROR(C53/(8.76*C23),0)</f>
        <v>0.57971975531165187</v>
      </c>
      <c r="D84" s="23">
        <f t="shared" si="43"/>
        <v>0.85219817500610451</v>
      </c>
      <c r="E84" s="23">
        <f t="shared" si="43"/>
        <v>0.23736856252020919</v>
      </c>
      <c r="F84" s="23">
        <f t="shared" si="43"/>
        <v>7.0984024362267511E-3</v>
      </c>
      <c r="G84" s="23">
        <f t="shared" si="43"/>
        <v>0.54010241340972376</v>
      </c>
      <c r="H84" s="23">
        <f t="shared" si="43"/>
        <v>0.3660052690082346</v>
      </c>
      <c r="I84" s="23">
        <f t="shared" si="43"/>
        <v>0.54957398532708279</v>
      </c>
      <c r="J84" s="23">
        <f t="shared" si="43"/>
        <v>0.20250232388325654</v>
      </c>
      <c r="K84" s="23">
        <f t="shared" si="43"/>
        <v>0.51649445600600463</v>
      </c>
      <c r="L84" s="23">
        <f t="shared" si="43"/>
        <v>0.68718511748386824</v>
      </c>
      <c r="M84" s="23">
        <f t="shared" si="43"/>
        <v>1.3855784799559926E-2</v>
      </c>
      <c r="N84" s="23">
        <f t="shared" si="43"/>
        <v>0.19356546719073092</v>
      </c>
      <c r="O84" s="23">
        <f t="shared" si="43"/>
        <v>0</v>
      </c>
      <c r="P84" s="26"/>
      <c r="Q84" s="7">
        <f t="shared" si="42"/>
        <v>0.40795003161431947</v>
      </c>
      <c r="R84" s="7">
        <f t="shared" si="42"/>
        <v>0.66087311828372319</v>
      </c>
      <c r="S84" s="5"/>
      <c r="T84" s="5"/>
    </row>
    <row r="85" spans="1:58" ht="15" x14ac:dyDescent="0.25">
      <c r="B85" s="3">
        <v>2040</v>
      </c>
      <c r="C85" s="23">
        <f t="shared" ref="C85:O85" si="44">IFERROR(C54/(8.76*C24),0)</f>
        <v>0.64829324105066133</v>
      </c>
      <c r="D85" s="23">
        <f t="shared" si="44"/>
        <v>0.81258428336201716</v>
      </c>
      <c r="E85" s="23">
        <f t="shared" si="44"/>
        <v>0.21308884286554869</v>
      </c>
      <c r="F85" s="23">
        <f t="shared" si="44"/>
        <v>1.3953472680632253E-2</v>
      </c>
      <c r="G85" s="23">
        <f t="shared" si="44"/>
        <v>0.6140538710905793</v>
      </c>
      <c r="H85" s="23">
        <f t="shared" si="44"/>
        <v>0.3518211630303702</v>
      </c>
      <c r="I85" s="23">
        <f t="shared" si="44"/>
        <v>0.54698524381726976</v>
      </c>
      <c r="J85" s="23">
        <f t="shared" si="44"/>
        <v>0.2037496198452351</v>
      </c>
      <c r="K85" s="23">
        <f t="shared" si="44"/>
        <v>0.51880874308017566</v>
      </c>
      <c r="L85" s="23">
        <f t="shared" si="44"/>
        <v>0.70309291616363068</v>
      </c>
      <c r="M85" s="23">
        <f t="shared" si="44"/>
        <v>1.3756515113967261E-2</v>
      </c>
      <c r="N85" s="23">
        <f t="shared" si="44"/>
        <v>0.20116698784447321</v>
      </c>
      <c r="O85" s="23">
        <f t="shared" si="44"/>
        <v>0</v>
      </c>
      <c r="P85" s="26"/>
      <c r="Q85" s="7">
        <f t="shared" si="42"/>
        <v>0.45659884175419096</v>
      </c>
      <c r="R85" s="7">
        <f t="shared" si="42"/>
        <v>0.67468547446301907</v>
      </c>
      <c r="S85" s="5"/>
      <c r="T85" s="5"/>
    </row>
    <row r="86" spans="1:58" ht="15" x14ac:dyDescent="0.25">
      <c r="B86" s="3">
        <v>2050</v>
      </c>
      <c r="C86" s="23">
        <f t="shared" ref="C86:O86" si="45">IFERROR(C55/(8.76*C25),0)</f>
        <v>0.77592492810209013</v>
      </c>
      <c r="D86" s="23">
        <f t="shared" si="45"/>
        <v>0.81909412624953604</v>
      </c>
      <c r="E86" s="23">
        <f t="shared" si="45"/>
        <v>0.28381869500980439</v>
      </c>
      <c r="F86" s="23">
        <f t="shared" si="45"/>
        <v>8.5976775622993041E-3</v>
      </c>
      <c r="G86" s="23">
        <f t="shared" si="45"/>
        <v>0.68179903503588291</v>
      </c>
      <c r="H86" s="23">
        <f t="shared" si="45"/>
        <v>0.34957870379056888</v>
      </c>
      <c r="I86" s="23">
        <f t="shared" si="45"/>
        <v>0</v>
      </c>
      <c r="J86" s="23">
        <f t="shared" si="45"/>
        <v>0.20234489988779042</v>
      </c>
      <c r="K86" s="23">
        <f t="shared" si="45"/>
        <v>0</v>
      </c>
      <c r="L86" s="23">
        <f t="shared" si="45"/>
        <v>0.74234514416844888</v>
      </c>
      <c r="M86" s="23">
        <f t="shared" si="45"/>
        <v>1.3591912752267368E-2</v>
      </c>
      <c r="N86" s="23">
        <f t="shared" si="45"/>
        <v>0.16077125126689878</v>
      </c>
      <c r="O86" s="23">
        <f t="shared" si="45"/>
        <v>0</v>
      </c>
      <c r="P86" s="26"/>
      <c r="Q86" s="7">
        <f t="shared" si="42"/>
        <v>0.48310431183849134</v>
      </c>
      <c r="R86" s="7">
        <f t="shared" si="42"/>
        <v>0.74234514416844888</v>
      </c>
      <c r="S86" s="5"/>
      <c r="T86" s="5"/>
    </row>
    <row r="87" spans="1:58" s="11" customFormat="1" ht="15" x14ac:dyDescent="0.25">
      <c r="C87" s="12"/>
      <c r="D87" s="12"/>
      <c r="E87" s="14"/>
      <c r="F87" s="14"/>
      <c r="G87" s="14"/>
      <c r="H87" s="16"/>
      <c r="I87" s="14"/>
      <c r="J87" s="14"/>
      <c r="K87" s="16"/>
      <c r="L87" s="14"/>
      <c r="M87" s="16"/>
      <c r="N87" s="20"/>
      <c r="O87" s="20"/>
      <c r="P87" s="20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</row>
    <row r="88" spans="1:58" s="9" customFormat="1" ht="21" x14ac:dyDescent="0.35">
      <c r="B88" s="10" t="s">
        <v>57</v>
      </c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</row>
    <row r="89" spans="1:58" ht="30" x14ac:dyDescent="0.25">
      <c r="B89" s="43" t="s">
        <v>56</v>
      </c>
      <c r="C89" s="43" t="s">
        <v>0</v>
      </c>
      <c r="D89" s="43" t="s">
        <v>1</v>
      </c>
      <c r="E89" s="43" t="s">
        <v>28</v>
      </c>
      <c r="F89" s="2" t="s">
        <v>29</v>
      </c>
      <c r="G89" s="2" t="s">
        <v>6</v>
      </c>
      <c r="H89" s="43" t="s">
        <v>2</v>
      </c>
      <c r="I89" s="43" t="s">
        <v>3</v>
      </c>
      <c r="J89" s="43" t="s">
        <v>4</v>
      </c>
      <c r="K89" s="43" t="s">
        <v>9</v>
      </c>
      <c r="L89" s="43" t="s">
        <v>8</v>
      </c>
      <c r="M89" s="43" t="s">
        <v>25</v>
      </c>
      <c r="N89" s="43" t="s">
        <v>7</v>
      </c>
      <c r="O89" s="43" t="s">
        <v>89</v>
      </c>
      <c r="P89" s="25"/>
      <c r="Q89" s="43"/>
      <c r="R89" s="43"/>
      <c r="T89" s="43"/>
      <c r="U89" s="25"/>
      <c r="V89" s="25"/>
      <c r="W89" s="25"/>
      <c r="X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</row>
    <row r="90" spans="1:58" ht="15" x14ac:dyDescent="0.25">
      <c r="A90" s="15"/>
      <c r="B90" s="3">
        <v>2016</v>
      </c>
      <c r="C90" s="80">
        <f>Y90*(Inputs_Summary!$G72/$Y52)</f>
        <v>237361.23967653932</v>
      </c>
      <c r="D90" s="80">
        <f>Z90*(Inputs_Summary!$G72/$Y52)</f>
        <v>14483.908918227477</v>
      </c>
      <c r="E90" s="80">
        <f>AA90*(Inputs_Summary!$G72/$Y52)</f>
        <v>2953.3918178067293</v>
      </c>
      <c r="F90" s="80">
        <f>AB90*(Inputs_Summary!$G72/$Y52)</f>
        <v>26109.111840910784</v>
      </c>
      <c r="G90" s="80">
        <f>AC90*(Inputs_Summary!$G72/$Y52)</f>
        <v>17279.155266936097</v>
      </c>
      <c r="H90" s="44">
        <f>AD90*(Inputs_Summary!$G72/$Y52)</f>
        <v>4573.4046786099279</v>
      </c>
      <c r="I90" s="80">
        <f>AE90*(Inputs_Summary!$G72/$Y52)</f>
        <v>922.30319981359185</v>
      </c>
      <c r="J90" s="44">
        <f>AF90*(Inputs_Summary!$G72/$Y52)</f>
        <v>2684.1837758456386</v>
      </c>
      <c r="K90" s="80">
        <f>AG90*(Inputs_Summary!$G72/$Y52)</f>
        <v>0</v>
      </c>
      <c r="L90" s="80">
        <f>AH90*(Inputs_Summary!$G72/$Y52)</f>
        <v>1875.5851175839462</v>
      </c>
      <c r="M90" s="80">
        <f>AI90*(Inputs_Summary!$G72/$Y52)</f>
        <v>0</v>
      </c>
      <c r="N90" s="80">
        <f>AJ90*(Inputs_Summary!$G72/$Y52)</f>
        <v>12224.544031685698</v>
      </c>
      <c r="O90" s="80" t="e">
        <f>AK90*(Inputs_Summary!#REF!/$Y52)</f>
        <v>#REF!</v>
      </c>
      <c r="P90" s="83"/>
      <c r="Q90" s="39"/>
      <c r="R90" s="5"/>
      <c r="T90" s="5"/>
      <c r="U90" s="24"/>
      <c r="V90" s="24"/>
      <c r="W90" s="26"/>
      <c r="X90" s="39"/>
      <c r="Y90" s="82">
        <v>235642</v>
      </c>
      <c r="Z90" s="39">
        <v>14379</v>
      </c>
      <c r="AA90" s="39">
        <v>2932</v>
      </c>
      <c r="AB90" s="39">
        <v>25920</v>
      </c>
      <c r="AC90" s="39">
        <v>17154</v>
      </c>
      <c r="AD90" s="39">
        <v>4540.2788877644989</v>
      </c>
      <c r="AE90" s="39">
        <v>915.6228325511039</v>
      </c>
      <c r="AF90" s="39">
        <v>2664.7418684270319</v>
      </c>
      <c r="AG90" s="39">
        <v>0</v>
      </c>
      <c r="AH90" s="39">
        <v>1862</v>
      </c>
      <c r="AI90" s="39">
        <v>0</v>
      </c>
      <c r="AJ90" s="39">
        <v>12136</v>
      </c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</row>
    <row r="91" spans="1:58" ht="15" x14ac:dyDescent="0.25">
      <c r="A91" s="15"/>
      <c r="B91" s="3">
        <v>2030</v>
      </c>
      <c r="C91" s="80">
        <f>Y91*(Inputs_Summary!$G73/$Y53)</f>
        <v>224237.79692824147</v>
      </c>
      <c r="D91" s="80">
        <f>Z91*(Inputs_Summary!$G73/$Y53)</f>
        <v>55004.033145547939</v>
      </c>
      <c r="E91" s="80">
        <f>AA91*(Inputs_Summary!$G73/$Y53)</f>
        <v>31321.30194213448</v>
      </c>
      <c r="F91" s="80">
        <f>AB91*(Inputs_Summary!$G73/$Y53)</f>
        <v>76054.216468518222</v>
      </c>
      <c r="G91" s="80">
        <f>AC91*(Inputs_Summary!$G73/$Y53)</f>
        <v>37935.820735111622</v>
      </c>
      <c r="H91" s="44">
        <f>AD91*(Inputs_Summary!$G73/$Y53)</f>
        <v>62860.877904576919</v>
      </c>
      <c r="I91" s="80">
        <f>AE91*(Inputs_Summary!$G73/$Y53)</f>
        <v>5054.9815170385073</v>
      </c>
      <c r="J91" s="44">
        <f>AF91*(Inputs_Summary!$G73/$Y53)</f>
        <v>22512.823253445105</v>
      </c>
      <c r="K91" s="80">
        <f>AG91*(Inputs_Summary!$G73/$Y53)</f>
        <v>406.96885094801542</v>
      </c>
      <c r="L91" s="80">
        <f>AH91*(Inputs_Summary!$G73/$Y53)</f>
        <v>3051.7563960813586</v>
      </c>
      <c r="M91" s="80">
        <f>AI91*(Inputs_Summary!$G73/$Y53)</f>
        <v>8739.1205887784363</v>
      </c>
      <c r="N91" s="80">
        <f>AJ91*(Inputs_Summary!$G73/$Y53)</f>
        <v>22816.774926584225</v>
      </c>
      <c r="O91" s="80" t="e">
        <f>AK91*(Inputs_Summary!#REF!/$Y53)</f>
        <v>#REF!</v>
      </c>
      <c r="P91" s="83"/>
      <c r="Q91" s="39"/>
      <c r="R91" s="5"/>
      <c r="T91" s="5"/>
      <c r="U91" s="24"/>
      <c r="V91" s="24"/>
      <c r="W91" s="26"/>
      <c r="X91" s="39"/>
      <c r="Y91" s="82">
        <v>219847</v>
      </c>
      <c r="Z91" s="82">
        <v>53927</v>
      </c>
      <c r="AA91" s="82">
        <v>30708</v>
      </c>
      <c r="AB91" s="82">
        <v>74565</v>
      </c>
      <c r="AC91" s="82">
        <v>37193</v>
      </c>
      <c r="AD91" s="82">
        <v>61630</v>
      </c>
      <c r="AE91" s="82">
        <v>4956</v>
      </c>
      <c r="AF91" s="82">
        <v>22072</v>
      </c>
      <c r="AG91" s="82">
        <v>399</v>
      </c>
      <c r="AH91" s="82">
        <v>2992</v>
      </c>
      <c r="AI91" s="82">
        <v>8568</v>
      </c>
      <c r="AJ91" s="82">
        <v>22370</v>
      </c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</row>
    <row r="92" spans="1:58" ht="15" x14ac:dyDescent="0.25">
      <c r="A92" s="15"/>
      <c r="B92" s="3">
        <v>2040</v>
      </c>
      <c r="C92" s="80">
        <f>Y92*(Inputs_Summary!$G74/$Y54)</f>
        <v>122531.59121464555</v>
      </c>
      <c r="D92" s="80">
        <f>Z92*(Inputs_Summary!$G74/$Y54)</f>
        <v>123197.39278964646</v>
      </c>
      <c r="E92" s="80">
        <f>AA92*(Inputs_Summary!$G74/$Y54)</f>
        <v>150914.01944126771</v>
      </c>
      <c r="F92" s="80">
        <f>AB92*(Inputs_Summary!$G74/$Y54)</f>
        <v>64275.459740471648</v>
      </c>
      <c r="G92" s="80">
        <f>AC92*(Inputs_Summary!$G74/$Y54)</f>
        <v>38120.403902012404</v>
      </c>
      <c r="H92" s="44">
        <f>AD92*(Inputs_Summary!$G74/$Y54)</f>
        <v>103245.43850289244</v>
      </c>
      <c r="I92" s="80">
        <f>AE92*(Inputs_Summary!$G74/$Y54)</f>
        <v>5031.1702726312469</v>
      </c>
      <c r="J92" s="44">
        <f>AF92*(Inputs_Summary!$G74/$Y54)</f>
        <v>38637.580087722003</v>
      </c>
      <c r="K92" s="80">
        <f>AG92*(Inputs_Summary!$G74/$Y54)</f>
        <v>407.71559494776176</v>
      </c>
      <c r="L92" s="80">
        <f>AH92*(Inputs_Summary!$G74/$Y54)</f>
        <v>3086.9895046044817</v>
      </c>
      <c r="M92" s="80">
        <f>AI92*(Inputs_Summary!$G74/$Y54)</f>
        <v>8772.9148706001142</v>
      </c>
      <c r="N92" s="80">
        <f>AJ92*(Inputs_Summary!$G74/$Y54)</f>
        <v>22910.402914133589</v>
      </c>
      <c r="O92" s="80" t="e">
        <f>AK92*(Inputs_Summary!#REF!/$Y54)</f>
        <v>#REF!</v>
      </c>
      <c r="P92" s="83"/>
      <c r="Q92" s="39"/>
      <c r="R92" s="5"/>
      <c r="T92" s="5"/>
      <c r="U92" s="24"/>
      <c r="V92" s="24"/>
      <c r="W92" s="26"/>
      <c r="X92" s="39"/>
      <c r="Y92" s="82">
        <v>122016</v>
      </c>
      <c r="Z92" s="82">
        <v>122679</v>
      </c>
      <c r="AA92" s="82">
        <v>150279</v>
      </c>
      <c r="AB92" s="82">
        <v>64005</v>
      </c>
      <c r="AC92" s="82">
        <v>37960</v>
      </c>
      <c r="AD92" s="82">
        <v>102811</v>
      </c>
      <c r="AE92" s="82">
        <v>5010</v>
      </c>
      <c r="AF92" s="82">
        <v>38475</v>
      </c>
      <c r="AG92" s="82">
        <v>406</v>
      </c>
      <c r="AH92" s="82">
        <v>3074</v>
      </c>
      <c r="AI92" s="82">
        <v>8736</v>
      </c>
      <c r="AJ92" s="82">
        <v>22814</v>
      </c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</row>
    <row r="93" spans="1:58" ht="15" x14ac:dyDescent="0.25">
      <c r="A93" s="15"/>
      <c r="B93" s="3">
        <v>2050</v>
      </c>
      <c r="C93" s="80">
        <f>Y93*(Inputs_Summary!$G75/$Y55)</f>
        <v>75891.316128743318</v>
      </c>
      <c r="D93" s="80">
        <f>Z93*(Inputs_Summary!$G75/$Y55)</f>
        <v>188624.64791700919</v>
      </c>
      <c r="E93" s="80">
        <f>AA93*(Inputs_Summary!$G75/$Y55)</f>
        <v>259421.60362281604</v>
      </c>
      <c r="F93" s="80">
        <f>AB93*(Inputs_Summary!$G75/$Y55)</f>
        <v>80243.809043026064</v>
      </c>
      <c r="G93" s="80">
        <f>AC93*(Inputs_Summary!$G75/$Y55)</f>
        <v>38018.42010397213</v>
      </c>
      <c r="H93" s="44">
        <f>AD93*(Inputs_Summary!$G75/$Y55)</f>
        <v>110243.14002739381</v>
      </c>
      <c r="I93" s="80">
        <f>AE93*(Inputs_Summary!$G75/$Y55)</f>
        <v>0</v>
      </c>
      <c r="J93" s="44">
        <f>AF93*(Inputs_Summary!$G75/$Y55)</f>
        <v>44189.455182814905</v>
      </c>
      <c r="K93" s="80">
        <f>AG93*(Inputs_Summary!$G75/$Y55)</f>
        <v>0</v>
      </c>
      <c r="L93" s="80">
        <f>AH93*(Inputs_Summary!$G75/$Y55)</f>
        <v>1877.5659169632106</v>
      </c>
      <c r="M93" s="80">
        <f>AI93*(Inputs_Summary!$G75/$Y55)</f>
        <v>8719.2329412145191</v>
      </c>
      <c r="N93" s="80">
        <f>AJ93*(Inputs_Summary!$G75/$Y55)</f>
        <v>22915.463045082695</v>
      </c>
      <c r="O93" s="80" t="e">
        <f>AK93*(Inputs_Summary!#REF!/$Y55)</f>
        <v>#REF!</v>
      </c>
      <c r="P93" s="83"/>
      <c r="Q93" s="39"/>
      <c r="R93" s="5"/>
      <c r="T93" s="5"/>
      <c r="U93" s="24"/>
      <c r="V93" s="24"/>
      <c r="W93" s="26"/>
      <c r="X93" s="39"/>
      <c r="Y93" s="82">
        <v>74575</v>
      </c>
      <c r="Z93" s="82">
        <v>185353</v>
      </c>
      <c r="AA93" s="82">
        <v>254922</v>
      </c>
      <c r="AB93" s="82">
        <v>78852</v>
      </c>
      <c r="AC93" s="82">
        <v>37359</v>
      </c>
      <c r="AD93" s="82">
        <v>108331</v>
      </c>
      <c r="AE93" s="82">
        <v>0</v>
      </c>
      <c r="AF93" s="82">
        <v>43423</v>
      </c>
      <c r="AG93" s="82">
        <v>0</v>
      </c>
      <c r="AH93" s="82">
        <v>1845</v>
      </c>
      <c r="AI93" s="82">
        <v>8568</v>
      </c>
      <c r="AJ93" s="82">
        <v>22518</v>
      </c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</row>
    <row r="94" spans="1:58" s="11" customFormat="1" ht="15" x14ac:dyDescent="0.25">
      <c r="A94" s="20"/>
      <c r="C94" s="83"/>
      <c r="D94" s="83"/>
      <c r="E94" s="83"/>
      <c r="F94" s="83"/>
      <c r="G94" s="83"/>
      <c r="H94" s="56"/>
      <c r="I94" s="83"/>
      <c r="J94" s="56"/>
      <c r="K94" s="83"/>
      <c r="L94" s="83"/>
      <c r="M94" s="83"/>
      <c r="N94" s="83"/>
      <c r="O94" s="83"/>
      <c r="P94" s="83"/>
      <c r="Q94" s="12"/>
      <c r="R94" s="57"/>
      <c r="T94" s="57"/>
      <c r="U94" s="24"/>
      <c r="V94" s="24"/>
      <c r="W94" s="26"/>
      <c r="X94" s="1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</row>
    <row r="95" spans="1:58" ht="30" x14ac:dyDescent="0.25">
      <c r="B95" s="43" t="s">
        <v>54</v>
      </c>
      <c r="C95" s="43" t="s">
        <v>0</v>
      </c>
      <c r="D95" s="43" t="s">
        <v>1</v>
      </c>
      <c r="E95" s="43" t="s">
        <v>28</v>
      </c>
      <c r="F95" s="2" t="s">
        <v>29</v>
      </c>
      <c r="G95" s="2" t="s">
        <v>6</v>
      </c>
      <c r="H95" s="43" t="s">
        <v>2</v>
      </c>
      <c r="I95" s="43" t="s">
        <v>3</v>
      </c>
      <c r="J95" s="43" t="s">
        <v>4</v>
      </c>
      <c r="K95" s="43" t="s">
        <v>9</v>
      </c>
      <c r="L95" s="43" t="s">
        <v>8</v>
      </c>
      <c r="M95" s="43" t="s">
        <v>25</v>
      </c>
      <c r="N95" s="43" t="s">
        <v>7</v>
      </c>
      <c r="O95" s="43" t="s">
        <v>89</v>
      </c>
      <c r="P95" s="25"/>
      <c r="Q95" s="43"/>
      <c r="R95" s="43"/>
      <c r="T95" s="43"/>
      <c r="U95" s="25"/>
      <c r="V95" s="25"/>
      <c r="W95" s="25"/>
      <c r="X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</row>
    <row r="96" spans="1:58" ht="15" x14ac:dyDescent="0.25">
      <c r="A96" s="15"/>
      <c r="B96" s="3">
        <v>2016</v>
      </c>
      <c r="C96" s="80">
        <f t="shared" ref="C96:O99" si="46">C90-C52</f>
        <v>42552.435326636099</v>
      </c>
      <c r="D96" s="80">
        <f t="shared" si="46"/>
        <v>-259.96992578286336</v>
      </c>
      <c r="E96" s="80">
        <f t="shared" si="46"/>
        <v>2197.3150618184891</v>
      </c>
      <c r="F96" s="80">
        <f t="shared" si="46"/>
        <v>24084.798169644193</v>
      </c>
      <c r="G96" s="80">
        <f t="shared" si="46"/>
        <v>1480.0309981170321</v>
      </c>
      <c r="H96" s="50">
        <f t="shared" si="46"/>
        <v>551.18839334390805</v>
      </c>
      <c r="I96" s="80">
        <f t="shared" si="46"/>
        <v>94.633274183466256</v>
      </c>
      <c r="J96" s="50">
        <f t="shared" si="46"/>
        <v>45.097541244736476</v>
      </c>
      <c r="K96" s="80">
        <f t="shared" si="46"/>
        <v>0</v>
      </c>
      <c r="L96" s="80">
        <f t="shared" si="46"/>
        <v>291.85038722989998</v>
      </c>
      <c r="M96" s="80">
        <f t="shared" si="46"/>
        <v>0</v>
      </c>
      <c r="N96" s="80">
        <f t="shared" si="46"/>
        <v>9230.1510556878038</v>
      </c>
      <c r="O96" s="80" t="e">
        <f t="shared" si="46"/>
        <v>#REF!</v>
      </c>
      <c r="P96" s="83"/>
      <c r="Q96" s="39"/>
      <c r="R96" s="5"/>
      <c r="T96" s="5"/>
      <c r="U96" s="24"/>
      <c r="V96" s="24"/>
      <c r="W96" s="26"/>
      <c r="X96" s="39"/>
      <c r="Y96" s="82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</row>
    <row r="97" spans="1:58" ht="15" x14ac:dyDescent="0.25">
      <c r="A97" s="15"/>
      <c r="B97" s="3">
        <v>2030</v>
      </c>
      <c r="C97" s="80">
        <f t="shared" ref="C97:N97" si="47">C91-C53</f>
        <v>58602.49456445672</v>
      </c>
      <c r="D97" s="80">
        <f t="shared" si="47"/>
        <v>537.5252743097808</v>
      </c>
      <c r="E97" s="80">
        <f t="shared" si="47"/>
        <v>22827.994619216872</v>
      </c>
      <c r="F97" s="80">
        <f t="shared" si="47"/>
        <v>75444.27317812496</v>
      </c>
      <c r="G97" s="80">
        <f t="shared" si="47"/>
        <v>15585.173038811216</v>
      </c>
      <c r="H97" s="50">
        <f t="shared" si="47"/>
        <v>0</v>
      </c>
      <c r="I97" s="80">
        <f t="shared" si="47"/>
        <v>0</v>
      </c>
      <c r="J97" s="50">
        <f t="shared" si="47"/>
        <v>0</v>
      </c>
      <c r="K97" s="80">
        <f t="shared" si="47"/>
        <v>54.058519048232597</v>
      </c>
      <c r="L97" s="80">
        <f t="shared" si="47"/>
        <v>475.30697880144135</v>
      </c>
      <c r="M97" s="80">
        <f t="shared" si="47"/>
        <v>8617.7439139342914</v>
      </c>
      <c r="N97" s="80">
        <f t="shared" si="47"/>
        <v>17879.090196159807</v>
      </c>
      <c r="O97" s="80" t="e">
        <f t="shared" si="46"/>
        <v>#REF!</v>
      </c>
      <c r="P97" s="83"/>
      <c r="Q97" s="39"/>
      <c r="R97" s="5"/>
      <c r="T97" s="5"/>
      <c r="U97" s="24"/>
      <c r="V97" s="24"/>
      <c r="W97" s="26"/>
      <c r="X97" s="39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</row>
    <row r="98" spans="1:58" ht="15" x14ac:dyDescent="0.25">
      <c r="A98" s="15"/>
      <c r="B98" s="3">
        <v>2040</v>
      </c>
      <c r="C98" s="80">
        <f t="shared" ref="C98:N98" si="48">C92-C54</f>
        <v>24874.668194226731</v>
      </c>
      <c r="D98" s="80">
        <f t="shared" si="48"/>
        <v>3546.9248309248651</v>
      </c>
      <c r="E98" s="80">
        <f t="shared" si="48"/>
        <v>114595.19627161068</v>
      </c>
      <c r="F98" s="80">
        <f t="shared" si="48"/>
        <v>63265.208783532122</v>
      </c>
      <c r="G98" s="80">
        <f t="shared" si="48"/>
        <v>12709.479235612991</v>
      </c>
      <c r="H98" s="50">
        <f t="shared" si="48"/>
        <v>0</v>
      </c>
      <c r="I98" s="80">
        <f t="shared" si="48"/>
        <v>0</v>
      </c>
      <c r="J98" s="50">
        <f t="shared" si="48"/>
        <v>1.0042256033193553</v>
      </c>
      <c r="K98" s="80">
        <f t="shared" si="48"/>
        <v>53.223956975939359</v>
      </c>
      <c r="L98" s="80">
        <f t="shared" si="48"/>
        <v>450.89729589050467</v>
      </c>
      <c r="M98" s="80">
        <f t="shared" si="48"/>
        <v>8652.4077982017607</v>
      </c>
      <c r="N98" s="80">
        <f t="shared" si="48"/>
        <v>17778.810081170381</v>
      </c>
      <c r="O98" s="80" t="e">
        <f t="shared" si="46"/>
        <v>#REF!</v>
      </c>
      <c r="P98" s="83"/>
      <c r="Q98" s="39"/>
      <c r="R98" s="5"/>
      <c r="T98" s="5"/>
      <c r="U98" s="24"/>
      <c r="V98" s="24"/>
      <c r="W98" s="26"/>
      <c r="X98" s="39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</row>
    <row r="99" spans="1:58" ht="15" x14ac:dyDescent="0.25">
      <c r="A99" s="15"/>
      <c r="B99" s="3">
        <v>2050</v>
      </c>
      <c r="C99" s="80">
        <f t="shared" ref="C99:N99" si="49">C93-C55</f>
        <v>6520.0893387443211</v>
      </c>
      <c r="D99" s="80">
        <f t="shared" si="49"/>
        <v>3352.1420761391928</v>
      </c>
      <c r="E99" s="80">
        <f t="shared" si="49"/>
        <v>176468.80787466475</v>
      </c>
      <c r="F99" s="80">
        <f t="shared" si="49"/>
        <v>79468.359054556699</v>
      </c>
      <c r="G99" s="80">
        <f t="shared" si="49"/>
        <v>9804.0488043488149</v>
      </c>
      <c r="H99" s="50">
        <f t="shared" si="49"/>
        <v>0</v>
      </c>
      <c r="I99" s="80">
        <f t="shared" si="49"/>
        <v>0</v>
      </c>
      <c r="J99" s="50">
        <f t="shared" si="49"/>
        <v>0</v>
      </c>
      <c r="K99" s="80">
        <f t="shared" si="49"/>
        <v>0</v>
      </c>
      <c r="L99" s="80">
        <f t="shared" si="49"/>
        <v>160.78884275348901</v>
      </c>
      <c r="M99" s="80">
        <f t="shared" si="49"/>
        <v>8600.1677855046564</v>
      </c>
      <c r="N99" s="80">
        <f t="shared" si="49"/>
        <v>18814.329903965223</v>
      </c>
      <c r="O99" s="80" t="e">
        <f t="shared" si="46"/>
        <v>#REF!</v>
      </c>
      <c r="P99" s="83"/>
      <c r="Q99" s="39"/>
      <c r="R99" s="5"/>
      <c r="T99" s="5"/>
      <c r="U99" s="24"/>
      <c r="V99" s="24"/>
      <c r="W99" s="26"/>
      <c r="X99" s="39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</row>
    <row r="100" spans="1:58" s="11" customFormat="1" ht="15" x14ac:dyDescent="0.25">
      <c r="A100" s="20"/>
      <c r="C100" s="83"/>
      <c r="D100" s="83"/>
      <c r="E100" s="83"/>
      <c r="F100" s="83"/>
      <c r="G100" s="83"/>
      <c r="H100" s="56"/>
      <c r="I100" s="83"/>
      <c r="J100" s="56"/>
      <c r="K100" s="83"/>
      <c r="L100" s="83"/>
      <c r="M100" s="83"/>
      <c r="N100" s="83"/>
      <c r="O100" s="83"/>
      <c r="P100" s="83"/>
      <c r="Q100" s="12"/>
      <c r="R100" s="57"/>
      <c r="T100" s="57"/>
      <c r="U100" s="24"/>
      <c r="V100" s="24"/>
      <c r="W100" s="26"/>
      <c r="X100" s="1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</row>
    <row r="101" spans="1:58" s="11" customFormat="1" ht="30" x14ac:dyDescent="0.25">
      <c r="A101" s="20"/>
      <c r="B101" s="43" t="s">
        <v>55</v>
      </c>
      <c r="C101" s="43" t="s">
        <v>0</v>
      </c>
      <c r="D101" s="43" t="s">
        <v>1</v>
      </c>
      <c r="E101" s="43" t="s">
        <v>28</v>
      </c>
      <c r="F101" s="2" t="s">
        <v>29</v>
      </c>
      <c r="G101" s="2" t="s">
        <v>6</v>
      </c>
      <c r="H101" s="43" t="s">
        <v>2</v>
      </c>
      <c r="I101" s="43" t="s">
        <v>3</v>
      </c>
      <c r="J101" s="43" t="s">
        <v>4</v>
      </c>
      <c r="K101" s="43" t="s">
        <v>9</v>
      </c>
      <c r="L101" s="43" t="s">
        <v>8</v>
      </c>
      <c r="M101" s="43" t="s">
        <v>25</v>
      </c>
      <c r="N101" s="43" t="s">
        <v>7</v>
      </c>
      <c r="O101" s="43" t="s">
        <v>89</v>
      </c>
      <c r="P101" s="25"/>
      <c r="Q101" s="12"/>
      <c r="R101" s="57"/>
      <c r="T101" s="57"/>
      <c r="U101" s="24"/>
      <c r="V101" s="24"/>
      <c r="W101" s="26"/>
      <c r="Y101" s="8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</row>
    <row r="102" spans="1:58" ht="15" x14ac:dyDescent="0.25">
      <c r="B102" s="3">
        <v>2016</v>
      </c>
      <c r="C102" s="81">
        <f>IFERROR(C96/C90,"")</f>
        <v>0.17927288964543592</v>
      </c>
      <c r="D102" s="81">
        <f t="shared" ref="D102:O105" si="50">IFERROR(D96/D90,"")</f>
        <v>-1.7948878804098289E-2</v>
      </c>
      <c r="E102" s="81">
        <f t="shared" si="50"/>
        <v>0.74399713866962502</v>
      </c>
      <c r="F102" s="81">
        <f t="shared" si="50"/>
        <v>0.92246715692202663</v>
      </c>
      <c r="G102" s="81">
        <f t="shared" si="50"/>
        <v>8.5654129224076822E-2</v>
      </c>
      <c r="H102" s="23">
        <f t="shared" si="50"/>
        <v>0.12052036329123625</v>
      </c>
      <c r="I102" s="81">
        <f t="shared" si="50"/>
        <v>0.10260538421919466</v>
      </c>
      <c r="J102" s="23">
        <f t="shared" si="50"/>
        <v>1.6801212216003624E-2</v>
      </c>
      <c r="K102" s="81" t="str">
        <f t="shared" si="50"/>
        <v/>
      </c>
      <c r="L102" s="81">
        <f t="shared" si="50"/>
        <v>0.15560498134355533</v>
      </c>
      <c r="M102" s="81" t="str">
        <f t="shared" si="50"/>
        <v/>
      </c>
      <c r="N102" s="81">
        <f t="shared" si="50"/>
        <v>0.75505074314129783</v>
      </c>
      <c r="O102" s="81" t="str">
        <f t="shared" si="50"/>
        <v/>
      </c>
      <c r="P102" s="98"/>
      <c r="Q102" s="7"/>
      <c r="R102" s="7"/>
      <c r="T102" s="8"/>
    </row>
    <row r="103" spans="1:58" ht="15" x14ac:dyDescent="0.25">
      <c r="B103" s="3">
        <v>2030</v>
      </c>
      <c r="C103" s="81">
        <f t="shared" ref="C103:N105" si="51">IFERROR(C97/C91,"")</f>
        <v>0.26134084158528437</v>
      </c>
      <c r="D103" s="81">
        <f t="shared" si="51"/>
        <v>9.7724701911843063E-3</v>
      </c>
      <c r="E103" s="81">
        <f t="shared" si="51"/>
        <v>0.72883287742607783</v>
      </c>
      <c r="F103" s="81">
        <f t="shared" si="51"/>
        <v>0.99198015154563135</v>
      </c>
      <c r="G103" s="81">
        <f t="shared" si="51"/>
        <v>0.41082999489151184</v>
      </c>
      <c r="H103" s="23">
        <f t="shared" si="51"/>
        <v>0</v>
      </c>
      <c r="I103" s="81">
        <f t="shared" si="51"/>
        <v>0</v>
      </c>
      <c r="J103" s="23">
        <f t="shared" si="51"/>
        <v>0</v>
      </c>
      <c r="K103" s="81">
        <f t="shared" si="51"/>
        <v>0.13283208020050119</v>
      </c>
      <c r="L103" s="81">
        <f t="shared" si="51"/>
        <v>0.15574866310160421</v>
      </c>
      <c r="M103" s="81">
        <f t="shared" si="51"/>
        <v>0.98611111111111116</v>
      </c>
      <c r="N103" s="81">
        <f t="shared" si="51"/>
        <v>0.78359409924005363</v>
      </c>
      <c r="O103" s="81" t="str">
        <f t="shared" si="50"/>
        <v/>
      </c>
      <c r="P103" s="98"/>
      <c r="Q103" s="7"/>
      <c r="R103" s="7"/>
      <c r="T103" s="8"/>
    </row>
    <row r="104" spans="1:58" ht="15" x14ac:dyDescent="0.25">
      <c r="B104" s="3">
        <v>2040</v>
      </c>
      <c r="C104" s="81">
        <f t="shared" si="51"/>
        <v>0.2030061631261473</v>
      </c>
      <c r="D104" s="81">
        <f t="shared" si="51"/>
        <v>2.8790583555457754E-2</v>
      </c>
      <c r="E104" s="81">
        <f t="shared" si="51"/>
        <v>0.75934095914931554</v>
      </c>
      <c r="F104" s="81">
        <f t="shared" si="51"/>
        <v>0.98428247793141166</v>
      </c>
      <c r="G104" s="81">
        <f t="shared" si="51"/>
        <v>0.33340358271865134</v>
      </c>
      <c r="H104" s="23">
        <f t="shared" si="51"/>
        <v>0</v>
      </c>
      <c r="I104" s="81">
        <f t="shared" si="51"/>
        <v>0</v>
      </c>
      <c r="J104" s="23">
        <f t="shared" si="51"/>
        <v>2.5990903183879042E-5</v>
      </c>
      <c r="K104" s="81">
        <f t="shared" si="51"/>
        <v>0.1305418719211823</v>
      </c>
      <c r="L104" s="81">
        <f t="shared" si="51"/>
        <v>0.1460637605725438</v>
      </c>
      <c r="M104" s="81">
        <f t="shared" si="51"/>
        <v>0.9862637362637362</v>
      </c>
      <c r="N104" s="81">
        <f t="shared" si="51"/>
        <v>0.77601472779872016</v>
      </c>
      <c r="O104" s="81" t="str">
        <f t="shared" si="50"/>
        <v/>
      </c>
      <c r="P104" s="98"/>
      <c r="Q104" s="7"/>
      <c r="R104" s="7"/>
      <c r="T104" s="8"/>
    </row>
    <row r="105" spans="1:58" ht="15" x14ac:dyDescent="0.25">
      <c r="B105" s="3">
        <v>2050</v>
      </c>
      <c r="C105" s="81">
        <f t="shared" si="51"/>
        <v>8.5913509889372991E-2</v>
      </c>
      <c r="D105" s="81">
        <f t="shared" si="51"/>
        <v>1.7771495470804345E-2</v>
      </c>
      <c r="E105" s="81">
        <f t="shared" si="51"/>
        <v>0.68023944579126172</v>
      </c>
      <c r="F105" s="81">
        <f t="shared" si="51"/>
        <v>0.99033632628214874</v>
      </c>
      <c r="G105" s="81">
        <f t="shared" si="51"/>
        <v>0.25787628148505037</v>
      </c>
      <c r="H105" s="23">
        <f t="shared" si="51"/>
        <v>0</v>
      </c>
      <c r="I105" s="81" t="str">
        <f t="shared" si="51"/>
        <v/>
      </c>
      <c r="J105" s="23">
        <f t="shared" si="51"/>
        <v>0</v>
      </c>
      <c r="K105" s="81" t="str">
        <f t="shared" si="51"/>
        <v/>
      </c>
      <c r="L105" s="81">
        <f t="shared" si="51"/>
        <v>8.5636856368563663E-2</v>
      </c>
      <c r="M105" s="81">
        <f t="shared" si="51"/>
        <v>0.98634453781512599</v>
      </c>
      <c r="N105" s="81">
        <f t="shared" si="51"/>
        <v>0.82103206323829825</v>
      </c>
      <c r="O105" s="81" t="str">
        <f t="shared" si="50"/>
        <v/>
      </c>
      <c r="P105" s="98"/>
      <c r="Q105" s="7"/>
      <c r="R105" s="7"/>
      <c r="T105" s="8"/>
    </row>
    <row r="106" spans="1:58" ht="15" x14ac:dyDescent="0.25">
      <c r="X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</row>
    <row r="107" spans="1:58" s="9" customFormat="1" ht="21" x14ac:dyDescent="0.35">
      <c r="B107" s="10" t="s">
        <v>17</v>
      </c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</row>
    <row r="108" spans="1:58" s="32" customFormat="1" ht="21" x14ac:dyDescent="0.35">
      <c r="B108" s="31"/>
      <c r="P108" s="58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</row>
    <row r="109" spans="1:58" ht="30" x14ac:dyDescent="0.25">
      <c r="B109" s="43" t="s">
        <v>40</v>
      </c>
      <c r="C109" s="43" t="s">
        <v>0</v>
      </c>
      <c r="D109" s="43" t="s">
        <v>1</v>
      </c>
      <c r="E109" s="43" t="s">
        <v>28</v>
      </c>
      <c r="F109" s="2" t="s">
        <v>29</v>
      </c>
      <c r="G109" s="2" t="s">
        <v>6</v>
      </c>
      <c r="H109" s="43" t="s">
        <v>2</v>
      </c>
      <c r="I109" s="43" t="s">
        <v>3</v>
      </c>
      <c r="J109" s="43" t="s">
        <v>4</v>
      </c>
      <c r="K109" s="43" t="s">
        <v>9</v>
      </c>
      <c r="L109" s="43" t="s">
        <v>8</v>
      </c>
      <c r="M109" s="43" t="s">
        <v>25</v>
      </c>
      <c r="N109" s="43" t="s">
        <v>7</v>
      </c>
      <c r="O109" s="43" t="s">
        <v>89</v>
      </c>
      <c r="P109" s="25"/>
      <c r="Q109" s="43" t="s">
        <v>5</v>
      </c>
      <c r="R109" s="43" t="s">
        <v>91</v>
      </c>
      <c r="T109" s="43" t="s">
        <v>10</v>
      </c>
    </row>
    <row r="110" spans="1:58" ht="15" x14ac:dyDescent="0.25">
      <c r="B110" s="3">
        <v>2016</v>
      </c>
      <c r="C110" s="51">
        <f>Inputs_Summary!E$5*C34/1000000</f>
        <v>210.12155916232655</v>
      </c>
      <c r="D110" s="51">
        <f>Inputs_Summary!F$5*D34/1000000</f>
        <v>0</v>
      </c>
      <c r="E110" s="51">
        <f>Inputs_Summary!G$5*E34/1000000</f>
        <v>0.27748016944768411</v>
      </c>
      <c r="F110" s="51">
        <f>Inputs_Summary!H$5*F34/1000000</f>
        <v>1.1619560473070238</v>
      </c>
      <c r="G110" s="51">
        <f>Inputs_Summary!I$5*G34/1000000</f>
        <v>0</v>
      </c>
      <c r="H110" s="51">
        <f>Inputs_Summary!J$5*H34/1000000</f>
        <v>0</v>
      </c>
      <c r="I110" s="51">
        <f>Inputs_Summary!K$5*I34/1000000</f>
        <v>0</v>
      </c>
      <c r="J110" s="51">
        <f>Inputs_Summary!L$5*J34/1000000</f>
        <v>0</v>
      </c>
      <c r="K110" s="51">
        <f>Inputs_Summary!M$5*K34/1000000</f>
        <v>0</v>
      </c>
      <c r="L110" s="51">
        <f>Inputs_Summary!N$5*L34/1000000</f>
        <v>0</v>
      </c>
      <c r="M110" s="51">
        <f>Inputs_Summary!O$5*M34/1000000</f>
        <v>0</v>
      </c>
      <c r="N110" s="51">
        <f>Inputs_Summary!P$5*N34/1000000</f>
        <v>5.9887859519957903E-4</v>
      </c>
      <c r="O110" s="51">
        <f>Inputs_Summary!R$5*O34/1000000</f>
        <v>0</v>
      </c>
      <c r="P110" s="97"/>
      <c r="Q110" s="39">
        <f>G110+N110</f>
        <v>5.9887859519957903E-4</v>
      </c>
      <c r="R110" s="5">
        <f>SUM(K110:L110)</f>
        <v>0</v>
      </c>
      <c r="T110" s="5">
        <f>SUM(C110:O110)</f>
        <v>211.56159425767646</v>
      </c>
    </row>
    <row r="111" spans="1:58" ht="15" x14ac:dyDescent="0.25">
      <c r="B111" s="3">
        <v>2030</v>
      </c>
      <c r="C111" s="51">
        <f>Inputs_Summary!E$5*C35/1000000</f>
        <v>113.4250484489212</v>
      </c>
      <c r="D111" s="51">
        <f>Inputs_Summary!F$5*D35/1000000</f>
        <v>0</v>
      </c>
      <c r="E111" s="51">
        <f>Inputs_Summary!G$5*E35/1000000</f>
        <v>0.81229554688343375</v>
      </c>
      <c r="F111" s="51">
        <f>Inputs_Summary!H$5*F35/1000000</f>
        <v>5.2106292530151165E-2</v>
      </c>
      <c r="G111" s="51">
        <f>Inputs_Summary!I$5*G35/1000000</f>
        <v>0</v>
      </c>
      <c r="H111" s="51">
        <f>Inputs_Summary!J$5*H35/1000000</f>
        <v>0</v>
      </c>
      <c r="I111" s="51">
        <f>Inputs_Summary!K$5*I35/1000000</f>
        <v>0</v>
      </c>
      <c r="J111" s="51">
        <f>Inputs_Summary!L$5*J35/1000000</f>
        <v>0</v>
      </c>
      <c r="K111" s="51">
        <f>Inputs_Summary!M$5*K35/1000000</f>
        <v>0</v>
      </c>
      <c r="L111" s="51">
        <f>Inputs_Summary!N$5*L35/1000000</f>
        <v>0</v>
      </c>
      <c r="M111" s="51">
        <f>Inputs_Summary!O$5*M35/1000000</f>
        <v>0</v>
      </c>
      <c r="N111" s="51">
        <f>Inputs_Summary!P$5*N35/1000000</f>
        <v>4.6143535881925356E-4</v>
      </c>
      <c r="O111" s="51">
        <f>Inputs_Summary!R$5*O35/1000000</f>
        <v>0</v>
      </c>
      <c r="P111" s="97"/>
      <c r="Q111" s="39">
        <f>G111+N111</f>
        <v>4.6143535881925356E-4</v>
      </c>
      <c r="R111" s="5">
        <f>SUM(K111:L111)</f>
        <v>0</v>
      </c>
      <c r="T111" s="5">
        <f t="shared" ref="T111:T113" si="52">SUM(C111:O111)</f>
        <v>114.28991172369361</v>
      </c>
    </row>
    <row r="112" spans="1:58" ht="15" x14ac:dyDescent="0.25">
      <c r="B112" s="3">
        <v>2040</v>
      </c>
      <c r="C112" s="51">
        <f>Inputs_Summary!E$5*C36/1000000</f>
        <v>37.777433086130557</v>
      </c>
      <c r="D112" s="51">
        <f>Inputs_Summary!F$5*D36/1000000</f>
        <v>0</v>
      </c>
      <c r="E112" s="51">
        <f>Inputs_Summary!G$5*E36/1000000</f>
        <v>0.8156029124736911</v>
      </c>
      <c r="F112" s="51">
        <f>Inputs_Summary!H$5*F36/1000000</f>
        <v>5.01490181785747E-2</v>
      </c>
      <c r="G112" s="51">
        <f>Inputs_Summary!I$5*G36/1000000</f>
        <v>0</v>
      </c>
      <c r="H112" s="51">
        <f>Inputs_Summary!J$5*H36/1000000</f>
        <v>0</v>
      </c>
      <c r="I112" s="51">
        <f>Inputs_Summary!K$5*I36/1000000</f>
        <v>0</v>
      </c>
      <c r="J112" s="51">
        <f>Inputs_Summary!L$5*J36/1000000</f>
        <v>0</v>
      </c>
      <c r="K112" s="51">
        <f>Inputs_Summary!M$5*K36/1000000</f>
        <v>0</v>
      </c>
      <c r="L112" s="51">
        <f>Inputs_Summary!N$5*L36/1000000</f>
        <v>0</v>
      </c>
      <c r="M112" s="51">
        <f>Inputs_Summary!O$5*M36/1000000</f>
        <v>0</v>
      </c>
      <c r="N112" s="51">
        <f>Inputs_Summary!P$5*N36/1000000</f>
        <v>4.7519955549083957E-4</v>
      </c>
      <c r="O112" s="51">
        <f>Inputs_Summary!R$5*O36/1000000</f>
        <v>0</v>
      </c>
      <c r="P112" s="97"/>
      <c r="Q112" s="39">
        <f>G112+N112</f>
        <v>4.7519955549083957E-4</v>
      </c>
      <c r="R112" s="5">
        <f>SUM(K112:L112)</f>
        <v>0</v>
      </c>
      <c r="T112" s="5">
        <f t="shared" si="52"/>
        <v>38.643660216338311</v>
      </c>
    </row>
    <row r="113" spans="2:21" ht="15" x14ac:dyDescent="0.25">
      <c r="B113" s="3">
        <v>2050</v>
      </c>
      <c r="C113" s="51">
        <f>Inputs_Summary!E$5*C37/1000000</f>
        <v>0</v>
      </c>
      <c r="D113" s="51">
        <f>Inputs_Summary!F$5*D37/1000000</f>
        <v>0</v>
      </c>
      <c r="E113" s="51">
        <f>Inputs_Summary!G$5*E37/1000000</f>
        <v>0.84219262297560904</v>
      </c>
      <c r="F113" s="51">
        <f>Inputs_Summary!H$5*F37/1000000</f>
        <v>0</v>
      </c>
      <c r="G113" s="51">
        <f>Inputs_Summary!I$5*G37/1000000</f>
        <v>0</v>
      </c>
      <c r="H113" s="51">
        <f>Inputs_Summary!J$5*H37/1000000</f>
        <v>0</v>
      </c>
      <c r="I113" s="51">
        <f>Inputs_Summary!K$5*I37/1000000</f>
        <v>0</v>
      </c>
      <c r="J113" s="51">
        <f>Inputs_Summary!L$5*J37/1000000</f>
        <v>0</v>
      </c>
      <c r="K113" s="51">
        <f>Inputs_Summary!M$5*K37/1000000</f>
        <v>0</v>
      </c>
      <c r="L113" s="51">
        <f>Inputs_Summary!N$5*L37/1000000</f>
        <v>0</v>
      </c>
      <c r="M113" s="51">
        <f>Inputs_Summary!O$5*M37/1000000</f>
        <v>0</v>
      </c>
      <c r="N113" s="51">
        <f>Inputs_Summary!P$5*N37/1000000</f>
        <v>3.5088603152786725E-4</v>
      </c>
      <c r="O113" s="51">
        <f>Inputs_Summary!R$5*O37/1000000</f>
        <v>0</v>
      </c>
      <c r="P113" s="97"/>
      <c r="Q113" s="39">
        <f>G113+N113</f>
        <v>3.5088603152786725E-4</v>
      </c>
      <c r="R113" s="5">
        <f>SUM(K113:L113)</f>
        <v>0</v>
      </c>
      <c r="T113" s="5">
        <f t="shared" si="52"/>
        <v>0.84254350900713693</v>
      </c>
    </row>
    <row r="114" spans="2:21" ht="15" x14ac:dyDescent="0.25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28"/>
      <c r="Q114" s="5"/>
      <c r="R114" s="5"/>
      <c r="S114" s="5"/>
      <c r="T114" s="5"/>
    </row>
    <row r="115" spans="2:21" ht="30" x14ac:dyDescent="0.25">
      <c r="B115" s="43" t="s">
        <v>41</v>
      </c>
      <c r="C115" s="43" t="s">
        <v>0</v>
      </c>
      <c r="D115" s="43" t="s">
        <v>1</v>
      </c>
      <c r="E115" s="43" t="s">
        <v>28</v>
      </c>
      <c r="F115" s="2" t="s">
        <v>29</v>
      </c>
      <c r="G115" s="2" t="s">
        <v>6</v>
      </c>
      <c r="H115" s="43" t="s">
        <v>2</v>
      </c>
      <c r="I115" s="43" t="s">
        <v>3</v>
      </c>
      <c r="J115" s="43" t="s">
        <v>4</v>
      </c>
      <c r="K115" s="43" t="s">
        <v>9</v>
      </c>
      <c r="L115" s="43" t="s">
        <v>8</v>
      </c>
      <c r="M115" s="43" t="s">
        <v>25</v>
      </c>
      <c r="N115" s="43" t="s">
        <v>7</v>
      </c>
      <c r="O115" s="43" t="s">
        <v>89</v>
      </c>
      <c r="P115" s="25"/>
      <c r="Q115" s="43" t="s">
        <v>5</v>
      </c>
      <c r="R115" s="43" t="s">
        <v>91</v>
      </c>
      <c r="T115" s="43" t="s">
        <v>10</v>
      </c>
    </row>
    <row r="116" spans="2:21" ht="15" x14ac:dyDescent="0.25">
      <c r="B116" s="3">
        <v>2016</v>
      </c>
      <c r="C116" s="51">
        <f>Inputs_Summary!E$8*C40/1000000</f>
        <v>0</v>
      </c>
      <c r="D116" s="51">
        <f>Inputs_Summary!F$8*D40/1000000</f>
        <v>0</v>
      </c>
      <c r="E116" s="51">
        <f>Inputs_Summary!G$8*E40/1000000</f>
        <v>0</v>
      </c>
      <c r="F116" s="51">
        <f>Inputs_Summary!H$8*F40/1000000</f>
        <v>0</v>
      </c>
      <c r="G116" s="51">
        <f>Inputs_Summary!I$8*G40/1000000</f>
        <v>0</v>
      </c>
      <c r="H116" s="51">
        <f>Inputs_Summary!J$8*H40/1000000</f>
        <v>0</v>
      </c>
      <c r="I116" s="51">
        <f>Inputs_Summary!K$8*I40/1000000</f>
        <v>0</v>
      </c>
      <c r="J116" s="51">
        <f>Inputs_Summary!L$8*J40/1000000</f>
        <v>0</v>
      </c>
      <c r="K116" s="51">
        <f>Inputs_Summary!M$8*K40/1000000</f>
        <v>0</v>
      </c>
      <c r="L116" s="51">
        <f>Inputs_Summary!N$8*L40/1000000</f>
        <v>0</v>
      </c>
      <c r="M116" s="51">
        <f>Inputs_Summary!O$8*M40/1000000</f>
        <v>0</v>
      </c>
      <c r="N116" s="51">
        <f>Inputs_Summary!P$8*N40/1000000</f>
        <v>0</v>
      </c>
      <c r="O116" s="51">
        <f>Inputs_Summary!R$8*O40/1000000</f>
        <v>0</v>
      </c>
      <c r="P116" s="97"/>
      <c r="Q116" s="39">
        <f>G116+N116</f>
        <v>0</v>
      </c>
      <c r="R116" s="5">
        <f>SUM(K116:L116)</f>
        <v>0</v>
      </c>
      <c r="T116" s="5">
        <f>SUM(C116:O116)</f>
        <v>0</v>
      </c>
    </row>
    <row r="117" spans="2:21" ht="15" x14ac:dyDescent="0.25">
      <c r="B117" s="3">
        <v>2030</v>
      </c>
      <c r="C117" s="51">
        <f>Inputs_Summary!E$8*C41/1000000</f>
        <v>59.008009095199121</v>
      </c>
      <c r="D117" s="51">
        <f>Inputs_Summary!F$8*D41/1000000</f>
        <v>0</v>
      </c>
      <c r="E117" s="51">
        <f>Inputs_Summary!G$8*E41/1000000</f>
        <v>0</v>
      </c>
      <c r="F117" s="51">
        <f>Inputs_Summary!H$8*F41/1000000</f>
        <v>0</v>
      </c>
      <c r="G117" s="51">
        <f>Inputs_Summary!I$8*G41/1000000</f>
        <v>0</v>
      </c>
      <c r="H117" s="51">
        <f>Inputs_Summary!J$8*H41/1000000</f>
        <v>0</v>
      </c>
      <c r="I117" s="51">
        <f>Inputs_Summary!K$8*I41/1000000</f>
        <v>0</v>
      </c>
      <c r="J117" s="51">
        <f>Inputs_Summary!L$8*J41/1000000</f>
        <v>0</v>
      </c>
      <c r="K117" s="51">
        <f>Inputs_Summary!M$8*K41/1000000</f>
        <v>0</v>
      </c>
      <c r="L117" s="51">
        <f>Inputs_Summary!N$8*L41/1000000</f>
        <v>0</v>
      </c>
      <c r="M117" s="51">
        <f>Inputs_Summary!O$8*M41/1000000</f>
        <v>0</v>
      </c>
      <c r="N117" s="51">
        <f>Inputs_Summary!P$8*N41/1000000</f>
        <v>5.2610158726562996E-4</v>
      </c>
      <c r="O117" s="51">
        <f>Inputs_Summary!R$8*O41/1000000</f>
        <v>0</v>
      </c>
      <c r="P117" s="97"/>
      <c r="Q117" s="39">
        <f>G117+N117</f>
        <v>5.2610158726562996E-4</v>
      </c>
      <c r="R117" s="5">
        <f>SUM(K117:L117)</f>
        <v>0</v>
      </c>
      <c r="T117" s="5">
        <f t="shared" ref="T117:T119" si="53">SUM(C117:O117)</f>
        <v>59.00853519678639</v>
      </c>
    </row>
    <row r="118" spans="2:21" ht="15" x14ac:dyDescent="0.25">
      <c r="B118" s="3">
        <v>2040</v>
      </c>
      <c r="C118" s="51">
        <f>Inputs_Summary!E$8*C42/1000000</f>
        <v>61.112022699494851</v>
      </c>
      <c r="D118" s="51">
        <f>Inputs_Summary!F$8*D42/1000000</f>
        <v>0</v>
      </c>
      <c r="E118" s="51">
        <f>Inputs_Summary!G$8*E42/1000000</f>
        <v>0</v>
      </c>
      <c r="F118" s="51">
        <f>Inputs_Summary!H$8*F42/1000000</f>
        <v>0</v>
      </c>
      <c r="G118" s="51">
        <f>Inputs_Summary!I$8*G42/1000000</f>
        <v>0</v>
      </c>
      <c r="H118" s="51">
        <f>Inputs_Summary!J$8*H42/1000000</f>
        <v>0</v>
      </c>
      <c r="I118" s="51">
        <f>Inputs_Summary!K$8*I42/1000000</f>
        <v>0</v>
      </c>
      <c r="J118" s="51">
        <f>Inputs_Summary!L$8*J42/1000000</f>
        <v>0</v>
      </c>
      <c r="K118" s="51">
        <f>Inputs_Summary!M$8*K42/1000000</f>
        <v>0</v>
      </c>
      <c r="L118" s="51">
        <f>Inputs_Summary!N$8*L42/1000000</f>
        <v>0</v>
      </c>
      <c r="M118" s="51">
        <f>Inputs_Summary!O$8*M42/1000000</f>
        <v>0</v>
      </c>
      <c r="N118" s="51">
        <f>Inputs_Summary!P$8*N42/1000000</f>
        <v>5.5111901110180218E-4</v>
      </c>
      <c r="O118" s="51">
        <f>Inputs_Summary!R$8*O42/1000000</f>
        <v>0</v>
      </c>
      <c r="P118" s="97"/>
      <c r="Q118" s="39">
        <f>G118+N118</f>
        <v>5.5111901110180218E-4</v>
      </c>
      <c r="R118" s="5">
        <f>SUM(K118:L118)</f>
        <v>0</v>
      </c>
      <c r="T118" s="5">
        <f t="shared" si="53"/>
        <v>61.11257381850595</v>
      </c>
    </row>
    <row r="119" spans="2:21" ht="15" x14ac:dyDescent="0.25">
      <c r="B119" s="3">
        <v>2050</v>
      </c>
      <c r="C119" s="51">
        <f>Inputs_Summary!E$8*C43/1000000</f>
        <v>67.687108584931352</v>
      </c>
      <c r="D119" s="51">
        <f>Inputs_Summary!F$8*D43/1000000</f>
        <v>0</v>
      </c>
      <c r="E119" s="51">
        <f>Inputs_Summary!G$8*E43/1000000</f>
        <v>0</v>
      </c>
      <c r="F119" s="51">
        <f>Inputs_Summary!H$8*F43/1000000</f>
        <v>0</v>
      </c>
      <c r="G119" s="51">
        <f>Inputs_Summary!I$8*G43/1000000</f>
        <v>0</v>
      </c>
      <c r="H119" s="51">
        <f>Inputs_Summary!J$8*H43/1000000</f>
        <v>0</v>
      </c>
      <c r="I119" s="51">
        <f>Inputs_Summary!K$8*I43/1000000</f>
        <v>0</v>
      </c>
      <c r="J119" s="51">
        <f>Inputs_Summary!L$8*J43/1000000</f>
        <v>0</v>
      </c>
      <c r="K119" s="51">
        <f>Inputs_Summary!M$8*K43/1000000</f>
        <v>0</v>
      </c>
      <c r="L119" s="51">
        <f>Inputs_Summary!N$8*L43/1000000</f>
        <v>0</v>
      </c>
      <c r="M119" s="51">
        <f>Inputs_Summary!O$8*M43/1000000</f>
        <v>0</v>
      </c>
      <c r="N119" s="51">
        <f>Inputs_Summary!P$8*N43/1000000</f>
        <v>4.6934059669562748E-4</v>
      </c>
      <c r="O119" s="51">
        <f>Inputs_Summary!R$8*O43/1000000</f>
        <v>0</v>
      </c>
      <c r="P119" s="97"/>
      <c r="Q119" s="39">
        <f>G119+N119</f>
        <v>4.6934059669562748E-4</v>
      </c>
      <c r="R119" s="5">
        <f>SUM(K119:L119)</f>
        <v>0</v>
      </c>
      <c r="T119" s="5">
        <f t="shared" si="53"/>
        <v>67.687577925528046</v>
      </c>
    </row>
    <row r="120" spans="2:21" ht="15" x14ac:dyDescent="0.25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28"/>
      <c r="Q120" s="5"/>
      <c r="R120" s="5"/>
      <c r="S120" s="5"/>
      <c r="T120" s="5"/>
    </row>
    <row r="121" spans="2:21" ht="30" x14ac:dyDescent="0.25">
      <c r="B121" s="43" t="s">
        <v>42</v>
      </c>
      <c r="C121" s="43" t="s">
        <v>0</v>
      </c>
      <c r="D121" s="43" t="s">
        <v>1</v>
      </c>
      <c r="E121" s="43" t="s">
        <v>28</v>
      </c>
      <c r="F121" s="2" t="s">
        <v>29</v>
      </c>
      <c r="G121" s="2" t="s">
        <v>6</v>
      </c>
      <c r="H121" s="43" t="s">
        <v>2</v>
      </c>
      <c r="I121" s="43" t="s">
        <v>3</v>
      </c>
      <c r="J121" s="43" t="s">
        <v>4</v>
      </c>
      <c r="K121" s="43" t="s">
        <v>9</v>
      </c>
      <c r="L121" s="43" t="s">
        <v>8</v>
      </c>
      <c r="M121" s="43" t="s">
        <v>25</v>
      </c>
      <c r="N121" s="43" t="s">
        <v>7</v>
      </c>
      <c r="O121" s="43" t="s">
        <v>89</v>
      </c>
      <c r="P121" s="25"/>
      <c r="Q121" s="43" t="s">
        <v>5</v>
      </c>
      <c r="R121" s="43" t="s">
        <v>91</v>
      </c>
      <c r="T121" s="43" t="s">
        <v>10</v>
      </c>
    </row>
    <row r="122" spans="2:21" ht="15" x14ac:dyDescent="0.25">
      <c r="B122" s="3">
        <v>2016</v>
      </c>
      <c r="C122" s="51">
        <f>Inputs_Summary!E$11*C46/1000000</f>
        <v>0</v>
      </c>
      <c r="D122" s="51">
        <f>Inputs_Summary!F$11*D46/1000000</f>
        <v>0</v>
      </c>
      <c r="E122" s="51">
        <f>Inputs_Summary!G$11*E46/1000000</f>
        <v>0</v>
      </c>
      <c r="F122" s="51">
        <f>Inputs_Summary!H$11*F46/1000000</f>
        <v>0</v>
      </c>
      <c r="G122" s="51">
        <f>Inputs_Summary!I$11*G46/1000000</f>
        <v>0</v>
      </c>
      <c r="H122" s="51">
        <f>Inputs_Summary!J$11*H46/1000000</f>
        <v>0</v>
      </c>
      <c r="I122" s="51">
        <f>Inputs_Summary!K$11*I46/1000000</f>
        <v>0</v>
      </c>
      <c r="J122" s="51">
        <f>Inputs_Summary!L$11*J46/1000000</f>
        <v>0</v>
      </c>
      <c r="K122" s="51">
        <f>Inputs_Summary!M$11*K46/1000000</f>
        <v>0</v>
      </c>
      <c r="L122" s="51">
        <f>Inputs_Summary!N$11*L46/1000000</f>
        <v>0</v>
      </c>
      <c r="M122" s="51">
        <f>Inputs_Summary!O$11*M46/1000000</f>
        <v>0</v>
      </c>
      <c r="N122" s="51">
        <f>Inputs_Summary!P$11*N46/1000000</f>
        <v>0</v>
      </c>
      <c r="O122" s="51">
        <f>Inputs_Summary!R$11*O46/1000000</f>
        <v>0</v>
      </c>
      <c r="P122" s="97"/>
      <c r="Q122" s="39">
        <f>G122+N122</f>
        <v>0</v>
      </c>
      <c r="R122" s="5">
        <f>SUM(K122:L122)</f>
        <v>0</v>
      </c>
      <c r="T122" s="5">
        <f>SUM(C122:O122)</f>
        <v>0</v>
      </c>
    </row>
    <row r="123" spans="2:21" ht="15" x14ac:dyDescent="0.25">
      <c r="B123" s="3">
        <v>2030</v>
      </c>
      <c r="C123" s="51">
        <f>Inputs_Summary!E$11*C47/1000000</f>
        <v>0</v>
      </c>
      <c r="D123" s="51">
        <f>Inputs_Summary!F$11*D47/1000000</f>
        <v>0</v>
      </c>
      <c r="E123" s="51">
        <f>Inputs_Summary!G$11*E47/1000000</f>
        <v>2.3047482406273274</v>
      </c>
      <c r="F123" s="51">
        <f>Inputs_Summary!H$11*F47/1000000</f>
        <v>0.2980011561555837</v>
      </c>
      <c r="G123" s="51">
        <f>Inputs_Summary!I$11*G47/1000000</f>
        <v>0</v>
      </c>
      <c r="H123" s="51">
        <f>Inputs_Summary!J$11*H47/1000000</f>
        <v>0</v>
      </c>
      <c r="I123" s="51">
        <f>Inputs_Summary!K$11*I47/1000000</f>
        <v>0</v>
      </c>
      <c r="J123" s="51">
        <f>Inputs_Summary!L$11*J47/1000000</f>
        <v>0</v>
      </c>
      <c r="K123" s="51">
        <f>Inputs_Summary!M$11*K47/1000000</f>
        <v>0</v>
      </c>
      <c r="L123" s="51">
        <f>Inputs_Summary!N$11*L47/1000000</f>
        <v>0</v>
      </c>
      <c r="M123" s="51">
        <f>Inputs_Summary!O$11*M47/1000000</f>
        <v>1.8206501226621743E-6</v>
      </c>
      <c r="N123" s="51">
        <f>Inputs_Summary!P$11*N47/1000000</f>
        <v>0</v>
      </c>
      <c r="O123" s="51">
        <f>Inputs_Summary!R$11*O47/1000000</f>
        <v>0</v>
      </c>
      <c r="P123" s="97"/>
      <c r="Q123" s="39">
        <f>G123+N123</f>
        <v>0</v>
      </c>
      <c r="R123" s="5">
        <f>SUM(K123:L123)</f>
        <v>0</v>
      </c>
      <c r="T123" s="5">
        <f t="shared" ref="T123:T125" si="54">SUM(C123:O123)</f>
        <v>2.6027512174330338</v>
      </c>
    </row>
    <row r="124" spans="2:21" ht="15" x14ac:dyDescent="0.25">
      <c r="B124" s="3">
        <v>2040</v>
      </c>
      <c r="C124" s="51">
        <f>Inputs_Summary!E$11*C48/1000000</f>
        <v>0</v>
      </c>
      <c r="D124" s="51">
        <f>Inputs_Summary!F$11*D48/1000000</f>
        <v>0</v>
      </c>
      <c r="E124" s="51">
        <f>Inputs_Summary!G$11*E48/1000000</f>
        <v>12.513405190790436</v>
      </c>
      <c r="F124" s="51">
        <f>Inputs_Summary!H$11*F48/1000000</f>
        <v>0.52973503110471443</v>
      </c>
      <c r="G124" s="51">
        <f>Inputs_Summary!I$11*G48/1000000</f>
        <v>0</v>
      </c>
      <c r="H124" s="51">
        <f>Inputs_Summary!J$11*H48/1000000</f>
        <v>0</v>
      </c>
      <c r="I124" s="51">
        <f>Inputs_Summary!K$11*I48/1000000</f>
        <v>0</v>
      </c>
      <c r="J124" s="51">
        <f>Inputs_Summary!L$11*J48/1000000</f>
        <v>0</v>
      </c>
      <c r="K124" s="51">
        <f>Inputs_Summary!M$11*K48/1000000</f>
        <v>0</v>
      </c>
      <c r="L124" s="51">
        <f>Inputs_Summary!N$11*L48/1000000</f>
        <v>0</v>
      </c>
      <c r="M124" s="51">
        <f>Inputs_Summary!O$11*M48/1000000</f>
        <v>1.8076060859752983E-6</v>
      </c>
      <c r="N124" s="51">
        <f>Inputs_Summary!P$11*N48/1000000</f>
        <v>0</v>
      </c>
      <c r="O124" s="51">
        <f>Inputs_Summary!R$11*O48/1000000</f>
        <v>0</v>
      </c>
      <c r="P124" s="97"/>
      <c r="Q124" s="39">
        <f>G124+N124</f>
        <v>0</v>
      </c>
      <c r="R124" s="5">
        <f>SUM(K124:L124)</f>
        <v>0</v>
      </c>
      <c r="T124" s="5">
        <f t="shared" si="54"/>
        <v>13.043142029501237</v>
      </c>
    </row>
    <row r="125" spans="2:21" ht="15" x14ac:dyDescent="0.25">
      <c r="B125" s="3">
        <v>2050</v>
      </c>
      <c r="C125" s="51">
        <f>Inputs_Summary!E$11*C49/1000000</f>
        <v>0</v>
      </c>
      <c r="D125" s="51">
        <f>Inputs_Summary!F$11*D49/1000000</f>
        <v>0</v>
      </c>
      <c r="E125" s="51">
        <f>Inputs_Summary!G$11*E49/1000000</f>
        <v>29.601483416595919</v>
      </c>
      <c r="F125" s="51">
        <f>Inputs_Summary!H$11*F49/1000000</f>
        <v>0.44510829338141183</v>
      </c>
      <c r="G125" s="51">
        <f>Inputs_Summary!I$11*G49/1000000</f>
        <v>0</v>
      </c>
      <c r="H125" s="51">
        <f>Inputs_Summary!J$11*H49/1000000</f>
        <v>0</v>
      </c>
      <c r="I125" s="51">
        <f>Inputs_Summary!K$11*I49/1000000</f>
        <v>0</v>
      </c>
      <c r="J125" s="51">
        <f>Inputs_Summary!L$11*J49/1000000</f>
        <v>0</v>
      </c>
      <c r="K125" s="51">
        <f>Inputs_Summary!M$11*K49/1000000</f>
        <v>0</v>
      </c>
      <c r="L125" s="51">
        <f>Inputs_Summary!N$11*L49/1000000</f>
        <v>0</v>
      </c>
      <c r="M125" s="51">
        <f>Inputs_Summary!O$11*M49/1000000</f>
        <v>1.7859773356479321E-6</v>
      </c>
      <c r="N125" s="51">
        <f>Inputs_Summary!P$11*N49/1000000</f>
        <v>0</v>
      </c>
      <c r="O125" s="51">
        <f>Inputs_Summary!R$11*O49/1000000</f>
        <v>0</v>
      </c>
      <c r="P125" s="97"/>
      <c r="Q125" s="39">
        <f>G125+N125</f>
        <v>0</v>
      </c>
      <c r="R125" s="5">
        <f>SUM(K125:L125)</f>
        <v>0</v>
      </c>
      <c r="T125" s="5">
        <f t="shared" si="54"/>
        <v>30.046593495954667</v>
      </c>
    </row>
    <row r="126" spans="2:21" ht="15" x14ac:dyDescent="0.25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28"/>
    </row>
    <row r="127" spans="2:21" ht="30" x14ac:dyDescent="0.25">
      <c r="B127" s="43" t="s">
        <v>24</v>
      </c>
      <c r="C127" s="43" t="s">
        <v>0</v>
      </c>
      <c r="D127" s="43" t="s">
        <v>1</v>
      </c>
      <c r="E127" s="43" t="s">
        <v>28</v>
      </c>
      <c r="F127" s="2" t="s">
        <v>29</v>
      </c>
      <c r="G127" s="2" t="s">
        <v>6</v>
      </c>
      <c r="H127" s="43" t="s">
        <v>2</v>
      </c>
      <c r="I127" s="43" t="s">
        <v>3</v>
      </c>
      <c r="J127" s="43" t="s">
        <v>4</v>
      </c>
      <c r="K127" s="43" t="s">
        <v>9</v>
      </c>
      <c r="L127" s="43" t="s">
        <v>8</v>
      </c>
      <c r="M127" s="43" t="s">
        <v>25</v>
      </c>
      <c r="N127" s="43" t="s">
        <v>7</v>
      </c>
      <c r="O127" s="43" t="s">
        <v>89</v>
      </c>
      <c r="P127" s="25"/>
      <c r="Q127" s="43" t="s">
        <v>5</v>
      </c>
      <c r="R127" s="43" t="s">
        <v>91</v>
      </c>
      <c r="T127" s="43" t="s">
        <v>10</v>
      </c>
    </row>
    <row r="128" spans="2:21" ht="15" x14ac:dyDescent="0.25">
      <c r="B128" s="3">
        <v>2016</v>
      </c>
      <c r="C128" s="51">
        <f t="shared" ref="C128:O131" si="55">C110+C116+C122</f>
        <v>210.12155916232655</v>
      </c>
      <c r="D128" s="51">
        <f t="shared" si="55"/>
        <v>0</v>
      </c>
      <c r="E128" s="51">
        <f t="shared" si="55"/>
        <v>0.27748016944768411</v>
      </c>
      <c r="F128" s="51">
        <f t="shared" si="55"/>
        <v>1.1619560473070238</v>
      </c>
      <c r="G128" s="51">
        <f t="shared" si="55"/>
        <v>0</v>
      </c>
      <c r="H128" s="51">
        <f t="shared" si="55"/>
        <v>0</v>
      </c>
      <c r="I128" s="51">
        <f t="shared" si="55"/>
        <v>0</v>
      </c>
      <c r="J128" s="51">
        <f t="shared" si="55"/>
        <v>0</v>
      </c>
      <c r="K128" s="51">
        <f t="shared" si="55"/>
        <v>0</v>
      </c>
      <c r="L128" s="51">
        <f t="shared" si="55"/>
        <v>0</v>
      </c>
      <c r="M128" s="51">
        <f t="shared" si="55"/>
        <v>0</v>
      </c>
      <c r="N128" s="51">
        <f t="shared" si="55"/>
        <v>5.9887859519957903E-4</v>
      </c>
      <c r="O128" s="51">
        <f t="shared" si="55"/>
        <v>0</v>
      </c>
      <c r="P128" s="97"/>
      <c r="Q128" s="39">
        <f>G128+N128</f>
        <v>5.9887859519957903E-4</v>
      </c>
      <c r="R128" s="5">
        <f>SUM(K128:L128)</f>
        <v>0</v>
      </c>
      <c r="T128" s="5">
        <f>SUM(C128:O128)</f>
        <v>211.56159425767646</v>
      </c>
      <c r="U128" s="85"/>
    </row>
    <row r="129" spans="2:41" ht="15" x14ac:dyDescent="0.25">
      <c r="B129" s="3">
        <v>2030</v>
      </c>
      <c r="C129" s="51">
        <f t="shared" ref="C129:N129" si="56">C111+C117+C123</f>
        <v>172.43305754412032</v>
      </c>
      <c r="D129" s="51">
        <f t="shared" si="56"/>
        <v>0</v>
      </c>
      <c r="E129" s="51">
        <f t="shared" si="56"/>
        <v>3.1170437875107613</v>
      </c>
      <c r="F129" s="51">
        <f t="shared" si="56"/>
        <v>0.35010744868573485</v>
      </c>
      <c r="G129" s="51">
        <f t="shared" si="56"/>
        <v>0</v>
      </c>
      <c r="H129" s="51">
        <f t="shared" si="56"/>
        <v>0</v>
      </c>
      <c r="I129" s="51">
        <f t="shared" si="56"/>
        <v>0</v>
      </c>
      <c r="J129" s="51">
        <f t="shared" si="56"/>
        <v>0</v>
      </c>
      <c r="K129" s="51">
        <f t="shared" si="56"/>
        <v>0</v>
      </c>
      <c r="L129" s="51">
        <f t="shared" si="56"/>
        <v>0</v>
      </c>
      <c r="M129" s="51">
        <f t="shared" si="56"/>
        <v>1.8206501226621743E-6</v>
      </c>
      <c r="N129" s="51">
        <f t="shared" si="56"/>
        <v>9.8753694608488341E-4</v>
      </c>
      <c r="O129" s="51">
        <f t="shared" si="55"/>
        <v>0</v>
      </c>
      <c r="P129" s="97"/>
      <c r="Q129" s="39">
        <f>G129+N129</f>
        <v>9.8753694608488341E-4</v>
      </c>
      <c r="R129" s="5">
        <f>SUM(K129:L129)</f>
        <v>0</v>
      </c>
      <c r="T129" s="5">
        <f t="shared" ref="T129:T131" si="57">SUM(C129:O129)</f>
        <v>175.90119813791304</v>
      </c>
      <c r="U129" s="85"/>
    </row>
    <row r="130" spans="2:41" ht="15" x14ac:dyDescent="0.25">
      <c r="B130" s="3">
        <v>2040</v>
      </c>
      <c r="C130" s="51">
        <f t="shared" ref="C130:N130" si="58">C112+C118+C124</f>
        <v>98.889455785625415</v>
      </c>
      <c r="D130" s="51">
        <f t="shared" si="58"/>
        <v>0</v>
      </c>
      <c r="E130" s="51">
        <f t="shared" si="58"/>
        <v>13.329008103264128</v>
      </c>
      <c r="F130" s="51">
        <f t="shared" si="58"/>
        <v>0.57988404928328907</v>
      </c>
      <c r="G130" s="51">
        <f t="shared" si="58"/>
        <v>0</v>
      </c>
      <c r="H130" s="51">
        <f t="shared" si="58"/>
        <v>0</v>
      </c>
      <c r="I130" s="51">
        <f t="shared" si="58"/>
        <v>0</v>
      </c>
      <c r="J130" s="51">
        <f t="shared" si="58"/>
        <v>0</v>
      </c>
      <c r="K130" s="51">
        <f t="shared" si="58"/>
        <v>0</v>
      </c>
      <c r="L130" s="51">
        <f t="shared" si="58"/>
        <v>0</v>
      </c>
      <c r="M130" s="51">
        <f t="shared" si="58"/>
        <v>1.8076060859752983E-6</v>
      </c>
      <c r="N130" s="51">
        <f t="shared" si="58"/>
        <v>1.0263185665926417E-3</v>
      </c>
      <c r="O130" s="51">
        <f t="shared" si="55"/>
        <v>0</v>
      </c>
      <c r="P130" s="97"/>
      <c r="Q130" s="39">
        <f>G130+N130</f>
        <v>1.0263185665926417E-3</v>
      </c>
      <c r="R130" s="5">
        <f>SUM(K130:L130)</f>
        <v>0</v>
      </c>
      <c r="T130" s="5">
        <f t="shared" si="57"/>
        <v>112.79937606434551</v>
      </c>
      <c r="U130" s="85"/>
    </row>
    <row r="131" spans="2:41" ht="15" x14ac:dyDescent="0.25">
      <c r="B131" s="3">
        <v>2050</v>
      </c>
      <c r="C131" s="51">
        <f t="shared" ref="C131:N131" si="59">C113+C119+C125</f>
        <v>67.687108584931352</v>
      </c>
      <c r="D131" s="51">
        <f t="shared" si="59"/>
        <v>0</v>
      </c>
      <c r="E131" s="51">
        <f t="shared" si="59"/>
        <v>30.443676039571528</v>
      </c>
      <c r="F131" s="51">
        <f t="shared" si="59"/>
        <v>0.44510829338141183</v>
      </c>
      <c r="G131" s="51">
        <f t="shared" si="59"/>
        <v>0</v>
      </c>
      <c r="H131" s="51">
        <f t="shared" si="59"/>
        <v>0</v>
      </c>
      <c r="I131" s="51">
        <f t="shared" si="59"/>
        <v>0</v>
      </c>
      <c r="J131" s="51">
        <f t="shared" si="59"/>
        <v>0</v>
      </c>
      <c r="K131" s="51">
        <f t="shared" si="59"/>
        <v>0</v>
      </c>
      <c r="L131" s="51">
        <f t="shared" si="59"/>
        <v>0</v>
      </c>
      <c r="M131" s="51">
        <f t="shared" si="59"/>
        <v>1.7859773356479321E-6</v>
      </c>
      <c r="N131" s="51">
        <f t="shared" si="59"/>
        <v>8.2022662822349478E-4</v>
      </c>
      <c r="O131" s="51">
        <f t="shared" si="55"/>
        <v>0</v>
      </c>
      <c r="P131" s="97"/>
      <c r="Q131" s="39">
        <f>G131+N131</f>
        <v>8.2022662822349478E-4</v>
      </c>
      <c r="R131" s="5">
        <f>SUM(K131:L131)</f>
        <v>0</v>
      </c>
      <c r="T131" s="5">
        <f t="shared" si="57"/>
        <v>98.576714930489842</v>
      </c>
      <c r="U131" s="85"/>
    </row>
    <row r="132" spans="2:41" ht="15" x14ac:dyDescent="0.25"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28"/>
    </row>
    <row r="133" spans="2:41" ht="15" x14ac:dyDescent="0.25">
      <c r="B133" s="3">
        <v>2016</v>
      </c>
      <c r="C133" s="23">
        <f t="shared" ref="C133:O136" si="60">IFERROR(C128/$T128,0)</f>
        <v>0.99319330571126252</v>
      </c>
      <c r="D133" s="23">
        <f t="shared" si="60"/>
        <v>0</v>
      </c>
      <c r="E133" s="23">
        <f t="shared" si="60"/>
        <v>1.3115810098770599E-3</v>
      </c>
      <c r="F133" s="23">
        <f t="shared" si="60"/>
        <v>5.4922825259663714E-3</v>
      </c>
      <c r="G133" s="23">
        <f t="shared" si="60"/>
        <v>0</v>
      </c>
      <c r="H133" s="23">
        <f t="shared" si="60"/>
        <v>0</v>
      </c>
      <c r="I133" s="23">
        <f t="shared" si="60"/>
        <v>0</v>
      </c>
      <c r="J133" s="23">
        <f t="shared" si="60"/>
        <v>0</v>
      </c>
      <c r="K133" s="23">
        <f t="shared" si="60"/>
        <v>0</v>
      </c>
      <c r="L133" s="23">
        <f t="shared" si="60"/>
        <v>0</v>
      </c>
      <c r="M133" s="23">
        <f t="shared" si="60"/>
        <v>0</v>
      </c>
      <c r="N133" s="23">
        <f t="shared" si="60"/>
        <v>2.8307528939782927E-6</v>
      </c>
      <c r="O133" s="23">
        <f t="shared" si="60"/>
        <v>0</v>
      </c>
      <c r="P133" s="26"/>
      <c r="Q133" s="7">
        <f t="shared" ref="Q133:R136" si="61">Q128/$T128</f>
        <v>2.8307528939782927E-6</v>
      </c>
      <c r="R133" s="7">
        <f t="shared" si="61"/>
        <v>0</v>
      </c>
      <c r="T133" s="8">
        <f>SUM(C133:O133)</f>
        <v>0.99999999999999989</v>
      </c>
    </row>
    <row r="134" spans="2:41" ht="15" x14ac:dyDescent="0.25">
      <c r="B134" s="3">
        <v>2030</v>
      </c>
      <c r="C134" s="23">
        <f t="shared" si="60"/>
        <v>0.98028358743143085</v>
      </c>
      <c r="D134" s="23">
        <f t="shared" si="60"/>
        <v>0</v>
      </c>
      <c r="E134" s="23">
        <f t="shared" si="60"/>
        <v>1.7720423854457681E-2</v>
      </c>
      <c r="F134" s="23">
        <f t="shared" si="60"/>
        <v>1.9903642066794658E-3</v>
      </c>
      <c r="G134" s="23">
        <f t="shared" si="60"/>
        <v>0</v>
      </c>
      <c r="H134" s="23">
        <f t="shared" si="60"/>
        <v>0</v>
      </c>
      <c r="I134" s="23">
        <f t="shared" si="60"/>
        <v>0</v>
      </c>
      <c r="J134" s="23">
        <f t="shared" si="60"/>
        <v>0</v>
      </c>
      <c r="K134" s="23">
        <f t="shared" si="60"/>
        <v>0</v>
      </c>
      <c r="L134" s="23">
        <f t="shared" si="60"/>
        <v>0</v>
      </c>
      <c r="M134" s="23">
        <f t="shared" si="60"/>
        <v>1.0350413424897295E-8</v>
      </c>
      <c r="N134" s="23">
        <f t="shared" si="60"/>
        <v>5.6141570184793056E-6</v>
      </c>
      <c r="O134" s="23">
        <f t="shared" si="60"/>
        <v>0</v>
      </c>
      <c r="P134" s="26"/>
      <c r="Q134" s="7">
        <f t="shared" si="61"/>
        <v>5.6141570184793056E-6</v>
      </c>
      <c r="R134" s="7">
        <f t="shared" si="61"/>
        <v>0</v>
      </c>
      <c r="T134" s="8">
        <f t="shared" ref="T134:T136" si="62">SUM(C134:O134)</f>
        <v>0.99999999999999989</v>
      </c>
    </row>
    <row r="135" spans="2:41" ht="15" x14ac:dyDescent="0.25">
      <c r="B135" s="3">
        <v>2040</v>
      </c>
      <c r="C135" s="23">
        <f t="shared" si="60"/>
        <v>0.87668442181111628</v>
      </c>
      <c r="D135" s="23">
        <f t="shared" si="60"/>
        <v>0</v>
      </c>
      <c r="E135" s="23">
        <f t="shared" si="60"/>
        <v>0.118165619069211</v>
      </c>
      <c r="F135" s="23">
        <f t="shared" si="60"/>
        <v>5.1408444755270529E-3</v>
      </c>
      <c r="G135" s="23">
        <f t="shared" si="60"/>
        <v>0</v>
      </c>
      <c r="H135" s="23">
        <f t="shared" si="60"/>
        <v>0</v>
      </c>
      <c r="I135" s="23">
        <f t="shared" si="60"/>
        <v>0</v>
      </c>
      <c r="J135" s="23">
        <f t="shared" si="60"/>
        <v>0</v>
      </c>
      <c r="K135" s="23">
        <f t="shared" si="60"/>
        <v>0</v>
      </c>
      <c r="L135" s="23">
        <f t="shared" si="60"/>
        <v>0</v>
      </c>
      <c r="M135" s="23">
        <f t="shared" si="60"/>
        <v>1.6024965288320068E-8</v>
      </c>
      <c r="N135" s="23">
        <f t="shared" si="60"/>
        <v>9.0986191803683951E-6</v>
      </c>
      <c r="O135" s="23">
        <f t="shared" si="60"/>
        <v>0</v>
      </c>
      <c r="P135" s="26"/>
      <c r="Q135" s="7">
        <f t="shared" si="61"/>
        <v>9.0986191803683951E-6</v>
      </c>
      <c r="R135" s="7">
        <f t="shared" si="61"/>
        <v>0</v>
      </c>
      <c r="T135" s="8">
        <f t="shared" si="62"/>
        <v>1</v>
      </c>
    </row>
    <row r="136" spans="2:41" ht="15" x14ac:dyDescent="0.25">
      <c r="B136" s="3">
        <v>2050</v>
      </c>
      <c r="C136" s="23">
        <f t="shared" si="60"/>
        <v>0.68664398719981778</v>
      </c>
      <c r="D136" s="23">
        <f t="shared" si="60"/>
        <v>0</v>
      </c>
      <c r="E136" s="23">
        <f t="shared" si="60"/>
        <v>0.30883232476390099</v>
      </c>
      <c r="F136" s="23">
        <f t="shared" si="60"/>
        <v>4.5153492251722377E-3</v>
      </c>
      <c r="G136" s="23">
        <f t="shared" si="60"/>
        <v>0</v>
      </c>
      <c r="H136" s="23">
        <f t="shared" si="60"/>
        <v>0</v>
      </c>
      <c r="I136" s="23">
        <f t="shared" si="60"/>
        <v>0</v>
      </c>
      <c r="J136" s="23">
        <f t="shared" si="60"/>
        <v>0</v>
      </c>
      <c r="K136" s="23">
        <f t="shared" si="60"/>
        <v>0</v>
      </c>
      <c r="L136" s="23">
        <f t="shared" si="60"/>
        <v>0</v>
      </c>
      <c r="M136" s="23">
        <f t="shared" si="60"/>
        <v>1.8117639007419672E-8</v>
      </c>
      <c r="N136" s="23">
        <f t="shared" si="60"/>
        <v>8.3206934700742213E-6</v>
      </c>
      <c r="O136" s="23">
        <f t="shared" si="60"/>
        <v>0</v>
      </c>
      <c r="P136" s="26"/>
      <c r="Q136" s="7">
        <f t="shared" si="61"/>
        <v>8.3206934700742213E-6</v>
      </c>
      <c r="R136" s="7">
        <f t="shared" si="61"/>
        <v>0</v>
      </c>
      <c r="T136" s="8">
        <f t="shared" si="62"/>
        <v>1.0000000000000002</v>
      </c>
    </row>
    <row r="137" spans="2:41" s="11" customFormat="1" ht="15" x14ac:dyDescent="0.25">
      <c r="C137" s="12"/>
      <c r="D137" s="12"/>
      <c r="E137" s="14"/>
      <c r="F137" s="14"/>
      <c r="G137" s="14"/>
      <c r="H137" s="16"/>
      <c r="I137" s="14"/>
      <c r="J137" s="14"/>
      <c r="K137" s="16"/>
      <c r="L137" s="14"/>
      <c r="M137" s="16"/>
      <c r="N137" s="20"/>
      <c r="O137" s="20"/>
      <c r="P137" s="20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</row>
    <row r="138" spans="2:41" s="9" customFormat="1" ht="21" x14ac:dyDescent="0.35">
      <c r="B138" s="10" t="s">
        <v>44</v>
      </c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</row>
    <row r="139" spans="2:41" s="32" customFormat="1" ht="21" x14ac:dyDescent="0.35">
      <c r="B139" s="31"/>
      <c r="P139" s="58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</row>
    <row r="140" spans="2:41" ht="30" x14ac:dyDescent="0.25">
      <c r="B140" s="43" t="s">
        <v>76</v>
      </c>
      <c r="C140" s="43" t="s">
        <v>0</v>
      </c>
      <c r="D140" s="43" t="s">
        <v>1</v>
      </c>
      <c r="E140" s="43" t="s">
        <v>28</v>
      </c>
      <c r="F140" s="2" t="s">
        <v>29</v>
      </c>
      <c r="G140" s="2" t="s">
        <v>6</v>
      </c>
      <c r="H140" s="43" t="s">
        <v>2</v>
      </c>
      <c r="I140" s="43" t="s">
        <v>3</v>
      </c>
      <c r="J140" s="43" t="s">
        <v>4</v>
      </c>
      <c r="K140" s="43" t="s">
        <v>9</v>
      </c>
      <c r="L140" s="43" t="s">
        <v>8</v>
      </c>
      <c r="M140" s="43" t="s">
        <v>25</v>
      </c>
      <c r="N140" s="43" t="s">
        <v>7</v>
      </c>
      <c r="O140" s="43" t="s">
        <v>89</v>
      </c>
      <c r="P140" s="25"/>
      <c r="Q140" s="43" t="s">
        <v>5</v>
      </c>
      <c r="R140" s="43" t="s">
        <v>91</v>
      </c>
      <c r="T140" s="43" t="s">
        <v>10</v>
      </c>
    </row>
    <row r="141" spans="2:41" ht="15" x14ac:dyDescent="0.25">
      <c r="B141" s="3">
        <v>2016</v>
      </c>
      <c r="C141" s="51">
        <f>Inputs_Summary!E$16*C34/1000000</f>
        <v>280.52467826386066</v>
      </c>
      <c r="D141" s="51">
        <f>Inputs_Summary!F$16*D34/1000000</f>
        <v>0</v>
      </c>
      <c r="E141" s="51">
        <f>Inputs_Summary!G$16*E34/1000000</f>
        <v>1.4970319768567157E-2</v>
      </c>
      <c r="F141" s="51">
        <f>Inputs_Summary!H$16*F34/1000000</f>
        <v>0</v>
      </c>
      <c r="G141" s="51">
        <f>Inputs_Summary!I$16*G34/1000000</f>
        <v>0</v>
      </c>
      <c r="H141" s="51">
        <f>Inputs_Summary!J$16*H34/1000000</f>
        <v>0</v>
      </c>
      <c r="I141" s="51">
        <f>Inputs_Summary!K$16*I34/1000000</f>
        <v>6.6213594050410038E-2</v>
      </c>
      <c r="J141" s="51">
        <f>Inputs_Summary!L$16*J34/1000000</f>
        <v>0</v>
      </c>
      <c r="K141" s="51">
        <f>Inputs_Summary!M$16*K34/1000000</f>
        <v>0</v>
      </c>
      <c r="L141" s="51">
        <f>Inputs_Summary!N$16*L34/1000000</f>
        <v>0.35950778379036846</v>
      </c>
      <c r="M141" s="51">
        <f>Inputs_Summary!O$16*M34/1000000</f>
        <v>0</v>
      </c>
      <c r="N141" s="51">
        <f>Inputs_Summary!P$16*N34/1000000</f>
        <v>5.9887859519957903E-4</v>
      </c>
      <c r="O141" s="51">
        <f>Inputs_Summary!R$16*O34/1000000</f>
        <v>0</v>
      </c>
      <c r="P141" s="97"/>
      <c r="Q141" s="39">
        <f>G141+N141</f>
        <v>5.9887859519957903E-4</v>
      </c>
      <c r="R141" s="5">
        <f>SUM(K141:L141)</f>
        <v>0.35950778379036846</v>
      </c>
      <c r="T141" s="5">
        <f>SUM(C141:O141)</f>
        <v>280.96596884006522</v>
      </c>
    </row>
    <row r="142" spans="2:41" ht="15" x14ac:dyDescent="0.25">
      <c r="B142" s="3">
        <v>2030</v>
      </c>
      <c r="C142" s="51">
        <f>Inputs_Summary!E$16*C35/1000000</f>
        <v>151.42913154673224</v>
      </c>
      <c r="D142" s="51">
        <f>Inputs_Summary!F$16*D35/1000000</f>
        <v>0</v>
      </c>
      <c r="E142" s="51">
        <f>Inputs_Summary!G$16*E35/1000000</f>
        <v>4.3824119423138928E-2</v>
      </c>
      <c r="F142" s="51">
        <f>Inputs_Summary!H$16*F35/1000000</f>
        <v>0</v>
      </c>
      <c r="G142" s="51">
        <f>Inputs_Summary!I$16*G35/1000000</f>
        <v>0</v>
      </c>
      <c r="H142" s="51">
        <f>Inputs_Summary!J$16*H35/1000000</f>
        <v>0</v>
      </c>
      <c r="I142" s="51">
        <f>Inputs_Summary!K$16*I35/1000000</f>
        <v>6.7154960266710112E-2</v>
      </c>
      <c r="J142" s="51">
        <f>Inputs_Summary!L$16*J35/1000000</f>
        <v>0</v>
      </c>
      <c r="K142" s="51">
        <f>Inputs_Summary!M$16*K35/1000000</f>
        <v>0</v>
      </c>
      <c r="L142" s="51">
        <f>Inputs_Summary!N$16*L35/1000000</f>
        <v>0.35285729335279209</v>
      </c>
      <c r="M142" s="51">
        <f>Inputs_Summary!O$16*M35/1000000</f>
        <v>0</v>
      </c>
      <c r="N142" s="51">
        <f>Inputs_Summary!P$16*N35/1000000</f>
        <v>4.6143535881925356E-4</v>
      </c>
      <c r="O142" s="51">
        <f>Inputs_Summary!R$16*O35/1000000</f>
        <v>0</v>
      </c>
      <c r="P142" s="97"/>
      <c r="Q142" s="39">
        <f>G142+N142</f>
        <v>4.6143535881925356E-4</v>
      </c>
      <c r="R142" s="5">
        <f>SUM(K142:L142)</f>
        <v>0.35285729335279209</v>
      </c>
      <c r="T142" s="5">
        <f t="shared" ref="T142:T144" si="63">SUM(C142:O142)</f>
        <v>151.89342935513372</v>
      </c>
    </row>
    <row r="143" spans="2:41" ht="15" x14ac:dyDescent="0.25">
      <c r="B143" s="3">
        <v>2040</v>
      </c>
      <c r="C143" s="51">
        <f>Inputs_Summary!E$16*C36/1000000</f>
        <v>50.435101968448386</v>
      </c>
      <c r="D143" s="51">
        <f>Inputs_Summary!F$16*D36/1000000</f>
        <v>0</v>
      </c>
      <c r="E143" s="51">
        <f>Inputs_Summary!G$16*E36/1000000</f>
        <v>4.4002554950896687E-2</v>
      </c>
      <c r="F143" s="51">
        <f>Inputs_Summary!H$16*F36/1000000</f>
        <v>0</v>
      </c>
      <c r="G143" s="51">
        <f>Inputs_Summary!I$16*G36/1000000</f>
        <v>0</v>
      </c>
      <c r="H143" s="51">
        <f>Inputs_Summary!J$16*H36/1000000</f>
        <v>0</v>
      </c>
      <c r="I143" s="51">
        <f>Inputs_Summary!K$16*I36/1000000</f>
        <v>6.8528355170530214E-2</v>
      </c>
      <c r="J143" s="51">
        <f>Inputs_Summary!L$16*J36/1000000</f>
        <v>0</v>
      </c>
      <c r="K143" s="51">
        <f>Inputs_Summary!M$16*K36/1000000</f>
        <v>0</v>
      </c>
      <c r="L143" s="51">
        <f>Inputs_Summary!N$16*L36/1000000</f>
        <v>0.36313902464200754</v>
      </c>
      <c r="M143" s="51">
        <f>Inputs_Summary!O$16*M36/1000000</f>
        <v>0</v>
      </c>
      <c r="N143" s="51">
        <f>Inputs_Summary!P$16*N36/1000000</f>
        <v>4.7519955549083957E-4</v>
      </c>
      <c r="O143" s="51">
        <f>Inputs_Summary!R$16*O36/1000000</f>
        <v>0</v>
      </c>
      <c r="P143" s="97"/>
      <c r="Q143" s="39">
        <f>G143+N143</f>
        <v>4.7519955549083957E-4</v>
      </c>
      <c r="R143" s="5">
        <f>SUM(K143:L143)</f>
        <v>0.36313902464200754</v>
      </c>
      <c r="T143" s="5">
        <f t="shared" si="63"/>
        <v>50.911247102767312</v>
      </c>
    </row>
    <row r="144" spans="2:41" ht="15" x14ac:dyDescent="0.25">
      <c r="B144" s="3">
        <v>2050</v>
      </c>
      <c r="C144" s="51">
        <f>Inputs_Summary!E$16*C37/1000000</f>
        <v>0</v>
      </c>
      <c r="D144" s="51">
        <f>Inputs_Summary!F$16*D37/1000000</f>
        <v>0</v>
      </c>
      <c r="E144" s="51">
        <f>Inputs_Summary!G$16*E37/1000000</f>
        <v>4.5437095190509702E-2</v>
      </c>
      <c r="F144" s="51">
        <f>Inputs_Summary!H$16*F37/1000000</f>
        <v>0</v>
      </c>
      <c r="G144" s="51">
        <f>Inputs_Summary!I$16*G37/1000000</f>
        <v>0</v>
      </c>
      <c r="H144" s="51">
        <f>Inputs_Summary!J$16*H37/1000000</f>
        <v>0</v>
      </c>
      <c r="I144" s="51">
        <f>Inputs_Summary!K$16*I37/1000000</f>
        <v>0</v>
      </c>
      <c r="J144" s="51">
        <f>Inputs_Summary!L$16*J37/1000000</f>
        <v>0</v>
      </c>
      <c r="K144" s="51">
        <f>Inputs_Summary!M$16*K37/1000000</f>
        <v>0</v>
      </c>
      <c r="L144" s="51">
        <f>Inputs_Summary!N$16*L37/1000000</f>
        <v>0.38970839584560679</v>
      </c>
      <c r="M144" s="51">
        <f>Inputs_Summary!O$16*M37/1000000</f>
        <v>0</v>
      </c>
      <c r="N144" s="51">
        <f>Inputs_Summary!P$16*N37/1000000</f>
        <v>3.5088603152786725E-4</v>
      </c>
      <c r="O144" s="51">
        <f>Inputs_Summary!R$16*O37/1000000</f>
        <v>0</v>
      </c>
      <c r="P144" s="97"/>
      <c r="Q144" s="39">
        <f>G144+N144</f>
        <v>3.5088603152786725E-4</v>
      </c>
      <c r="R144" s="5">
        <f>SUM(K144:L144)</f>
        <v>0.38970839584560679</v>
      </c>
      <c r="T144" s="5">
        <f t="shared" si="63"/>
        <v>0.43549637706764438</v>
      </c>
    </row>
    <row r="145" spans="2:20" ht="15" x14ac:dyDescent="0.25"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28"/>
      <c r="Q145" s="5"/>
      <c r="R145" s="5"/>
      <c r="S145" s="5"/>
      <c r="T145" s="5"/>
    </row>
    <row r="146" spans="2:20" ht="30" x14ac:dyDescent="0.25">
      <c r="B146" s="43" t="s">
        <v>77</v>
      </c>
      <c r="C146" s="43" t="s">
        <v>0</v>
      </c>
      <c r="D146" s="43" t="s">
        <v>1</v>
      </c>
      <c r="E146" s="43" t="s">
        <v>28</v>
      </c>
      <c r="F146" s="2" t="s">
        <v>29</v>
      </c>
      <c r="G146" s="2" t="s">
        <v>6</v>
      </c>
      <c r="H146" s="43" t="s">
        <v>2</v>
      </c>
      <c r="I146" s="43" t="s">
        <v>3</v>
      </c>
      <c r="J146" s="43" t="s">
        <v>4</v>
      </c>
      <c r="K146" s="43" t="s">
        <v>9</v>
      </c>
      <c r="L146" s="43" t="s">
        <v>8</v>
      </c>
      <c r="M146" s="43" t="s">
        <v>25</v>
      </c>
      <c r="N146" s="43" t="s">
        <v>7</v>
      </c>
      <c r="O146" s="43" t="s">
        <v>89</v>
      </c>
      <c r="P146" s="25"/>
      <c r="Q146" s="43" t="s">
        <v>5</v>
      </c>
      <c r="R146" s="43" t="s">
        <v>91</v>
      </c>
      <c r="T146" s="43" t="s">
        <v>10</v>
      </c>
    </row>
    <row r="147" spans="2:20" ht="15" x14ac:dyDescent="0.25">
      <c r="B147" s="3">
        <v>2016</v>
      </c>
      <c r="C147" s="51">
        <f>Inputs_Summary!E$19*C40/1000000</f>
        <v>0</v>
      </c>
      <c r="D147" s="51">
        <f>Inputs_Summary!F$19*D40/1000000</f>
        <v>0</v>
      </c>
      <c r="E147" s="51">
        <f>Inputs_Summary!G$19*E40/1000000</f>
        <v>0</v>
      </c>
      <c r="F147" s="51">
        <f>Inputs_Summary!H$19*F40/1000000</f>
        <v>0</v>
      </c>
      <c r="G147" s="51">
        <f>Inputs_Summary!I$19*G40/1000000</f>
        <v>0</v>
      </c>
      <c r="H147" s="51">
        <f>Inputs_Summary!J$19*H40/1000000</f>
        <v>0</v>
      </c>
      <c r="I147" s="51">
        <f>Inputs_Summary!K$19*I40/1000000</f>
        <v>0</v>
      </c>
      <c r="J147" s="51">
        <f>Inputs_Summary!L$19*J40/1000000</f>
        <v>0</v>
      </c>
      <c r="K147" s="51">
        <f>Inputs_Summary!M$19*K40/1000000</f>
        <v>0</v>
      </c>
      <c r="L147" s="51">
        <f>Inputs_Summary!N$19*L40/1000000</f>
        <v>0</v>
      </c>
      <c r="M147" s="51">
        <f>Inputs_Summary!O$19*M40/1000000</f>
        <v>0</v>
      </c>
      <c r="N147" s="51">
        <f>Inputs_Summary!P$19*N40/1000000</f>
        <v>0</v>
      </c>
      <c r="O147" s="51">
        <f>Inputs_Summary!R$19*O40/1000000</f>
        <v>0</v>
      </c>
      <c r="P147" s="97"/>
      <c r="Q147" s="39">
        <f>G147+N147</f>
        <v>0</v>
      </c>
      <c r="R147" s="5">
        <f>SUM(K147:L147)</f>
        <v>0</v>
      </c>
      <c r="T147" s="5">
        <f>SUM(C147:O147)</f>
        <v>0</v>
      </c>
    </row>
    <row r="148" spans="2:20" ht="15" x14ac:dyDescent="0.25">
      <c r="B148" s="3">
        <v>2030</v>
      </c>
      <c r="C148" s="51">
        <f>Inputs_Summary!E$19*C41/1000000</f>
        <v>13.969998327079319</v>
      </c>
      <c r="D148" s="51">
        <f>Inputs_Summary!F$19*D41/1000000</f>
        <v>0</v>
      </c>
      <c r="E148" s="51">
        <f>Inputs_Summary!G$19*E41/1000000</f>
        <v>0</v>
      </c>
      <c r="F148" s="51">
        <f>Inputs_Summary!H$19*F41/1000000</f>
        <v>0</v>
      </c>
      <c r="G148" s="51">
        <f>Inputs_Summary!I$19*G41/1000000</f>
        <v>0</v>
      </c>
      <c r="H148" s="51">
        <f>Inputs_Summary!J$19*H41/1000000</f>
        <v>0</v>
      </c>
      <c r="I148" s="51">
        <f>Inputs_Summary!K$19*I41/1000000</f>
        <v>0.33724356109637044</v>
      </c>
      <c r="J148" s="51">
        <f>Inputs_Summary!L$19*J41/1000000</f>
        <v>0</v>
      </c>
      <c r="K148" s="51">
        <f>Inputs_Summary!M$19*K41/1000000</f>
        <v>0</v>
      </c>
      <c r="L148" s="51">
        <f>Inputs_Summary!N$19*L41/1000000</f>
        <v>0.23199672436974914</v>
      </c>
      <c r="M148" s="51">
        <f>Inputs_Summary!O$19*M41/1000000</f>
        <v>0</v>
      </c>
      <c r="N148" s="51">
        <f>Inputs_Summary!P$19*N41/1000000</f>
        <v>5.2610158726562996E-4</v>
      </c>
      <c r="O148" s="51">
        <f>Inputs_Summary!R$19*O41/1000000</f>
        <v>0</v>
      </c>
      <c r="P148" s="97"/>
      <c r="Q148" s="39">
        <f>G148+N148</f>
        <v>5.2610158726562996E-4</v>
      </c>
      <c r="R148" s="5">
        <f>SUM(K148:L148)</f>
        <v>0.23199672436974914</v>
      </c>
      <c r="T148" s="5">
        <f t="shared" ref="T148:T150" si="64">SUM(C148:O148)</f>
        <v>14.539764714132703</v>
      </c>
    </row>
    <row r="149" spans="2:20" ht="15" x14ac:dyDescent="0.25">
      <c r="B149" s="3">
        <v>2040</v>
      </c>
      <c r="C149" s="51">
        <f>Inputs_Summary!E$19*C42/1000000</f>
        <v>14.468118276944818</v>
      </c>
      <c r="D149" s="51">
        <f>Inputs_Summary!F$19*D42/1000000</f>
        <v>0</v>
      </c>
      <c r="E149" s="51">
        <f>Inputs_Summary!G$19*E42/1000000</f>
        <v>0</v>
      </c>
      <c r="F149" s="51">
        <f>Inputs_Summary!H$19*F42/1000000</f>
        <v>0</v>
      </c>
      <c r="G149" s="51">
        <f>Inputs_Summary!I$19*G42/1000000</f>
        <v>0</v>
      </c>
      <c r="H149" s="51">
        <f>Inputs_Summary!J$19*H42/1000000</f>
        <v>0</v>
      </c>
      <c r="I149" s="51">
        <f>Inputs_Summary!K$19*I42/1000000</f>
        <v>0.33396526663996956</v>
      </c>
      <c r="J149" s="51">
        <f>Inputs_Summary!L$19*J42/1000000</f>
        <v>0</v>
      </c>
      <c r="K149" s="51">
        <f>Inputs_Summary!M$19*K42/1000000</f>
        <v>0</v>
      </c>
      <c r="L149" s="51">
        <f>Inputs_Summary!N$19*L42/1000000</f>
        <v>0.23525390673606517</v>
      </c>
      <c r="M149" s="51">
        <f>Inputs_Summary!O$19*M42/1000000</f>
        <v>0</v>
      </c>
      <c r="N149" s="51">
        <f>Inputs_Summary!P$19*N42/1000000</f>
        <v>5.5111901110180218E-4</v>
      </c>
      <c r="O149" s="51">
        <f>Inputs_Summary!R$19*O42/1000000</f>
        <v>0</v>
      </c>
      <c r="P149" s="97"/>
      <c r="Q149" s="39">
        <f>G149+N149</f>
        <v>5.5111901110180218E-4</v>
      </c>
      <c r="R149" s="5">
        <f>SUM(K149:L149)</f>
        <v>0.23525390673606517</v>
      </c>
      <c r="T149" s="5">
        <f t="shared" si="64"/>
        <v>15.037888569331955</v>
      </c>
    </row>
    <row r="150" spans="2:20" ht="15" x14ac:dyDescent="0.25">
      <c r="B150" s="3">
        <v>2050</v>
      </c>
      <c r="C150" s="51">
        <f>Inputs_Summary!E$19*C43/1000000</f>
        <v>16.024753388489767</v>
      </c>
      <c r="D150" s="51">
        <f>Inputs_Summary!F$19*D43/1000000</f>
        <v>0</v>
      </c>
      <c r="E150" s="51">
        <f>Inputs_Summary!G$19*E43/1000000</f>
        <v>0</v>
      </c>
      <c r="F150" s="51">
        <f>Inputs_Summary!H$19*F43/1000000</f>
        <v>0</v>
      </c>
      <c r="G150" s="51">
        <f>Inputs_Summary!I$19*G43/1000000</f>
        <v>0</v>
      </c>
      <c r="H150" s="51">
        <f>Inputs_Summary!J$19*H43/1000000</f>
        <v>0</v>
      </c>
      <c r="I150" s="51">
        <f>Inputs_Summary!K$19*I43/1000000</f>
        <v>0</v>
      </c>
      <c r="J150" s="51">
        <f>Inputs_Summary!L$19*J43/1000000</f>
        <v>0</v>
      </c>
      <c r="K150" s="51">
        <f>Inputs_Summary!M$19*K43/1000000</f>
        <v>0</v>
      </c>
      <c r="L150" s="51">
        <f>Inputs_Summary!N$19*L43/1000000</f>
        <v>0</v>
      </c>
      <c r="M150" s="51">
        <f>Inputs_Summary!O$19*M43/1000000</f>
        <v>0</v>
      </c>
      <c r="N150" s="51">
        <f>Inputs_Summary!P$19*N43/1000000</f>
        <v>4.6934059669562748E-4</v>
      </c>
      <c r="O150" s="51">
        <f>Inputs_Summary!R$19*O43/1000000</f>
        <v>0</v>
      </c>
      <c r="P150" s="97"/>
      <c r="Q150" s="39">
        <f>G150+N150</f>
        <v>4.6934059669562748E-4</v>
      </c>
      <c r="R150" s="5">
        <f>SUM(K150:L150)</f>
        <v>0</v>
      </c>
      <c r="T150" s="5">
        <f t="shared" si="64"/>
        <v>16.025222729086462</v>
      </c>
    </row>
    <row r="151" spans="2:20" ht="15" x14ac:dyDescent="0.25"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28"/>
      <c r="Q151" s="5"/>
      <c r="R151" s="5"/>
      <c r="S151" s="5"/>
      <c r="T151" s="5"/>
    </row>
    <row r="152" spans="2:20" ht="30" x14ac:dyDescent="0.25">
      <c r="B152" s="43" t="s">
        <v>78</v>
      </c>
      <c r="C152" s="43" t="s">
        <v>0</v>
      </c>
      <c r="D152" s="43" t="s">
        <v>1</v>
      </c>
      <c r="E152" s="43" t="s">
        <v>28</v>
      </c>
      <c r="F152" s="2" t="s">
        <v>29</v>
      </c>
      <c r="G152" s="2" t="s">
        <v>6</v>
      </c>
      <c r="H152" s="43" t="s">
        <v>2</v>
      </c>
      <c r="I152" s="43" t="s">
        <v>3</v>
      </c>
      <c r="J152" s="43" t="s">
        <v>4</v>
      </c>
      <c r="K152" s="43" t="s">
        <v>9</v>
      </c>
      <c r="L152" s="43" t="s">
        <v>8</v>
      </c>
      <c r="M152" s="43" t="s">
        <v>25</v>
      </c>
      <c r="N152" s="43" t="s">
        <v>7</v>
      </c>
      <c r="O152" s="43" t="s">
        <v>89</v>
      </c>
      <c r="P152" s="25"/>
      <c r="Q152" s="43" t="s">
        <v>5</v>
      </c>
      <c r="R152" s="43" t="s">
        <v>91</v>
      </c>
      <c r="T152" s="43" t="s">
        <v>10</v>
      </c>
    </row>
    <row r="153" spans="2:20" ht="15" x14ac:dyDescent="0.25">
      <c r="B153" s="3">
        <v>2016</v>
      </c>
      <c r="C153" s="51">
        <f>Inputs_Summary!E$22*C46/1000000</f>
        <v>0</v>
      </c>
      <c r="D153" s="51">
        <f>Inputs_Summary!F$22*D46/1000000</f>
        <v>0</v>
      </c>
      <c r="E153" s="51">
        <f>Inputs_Summary!G$22*E46/1000000</f>
        <v>0</v>
      </c>
      <c r="F153" s="51">
        <f>Inputs_Summary!H$22*F46/1000000</f>
        <v>0</v>
      </c>
      <c r="G153" s="51">
        <f>Inputs_Summary!I$22*G46/1000000</f>
        <v>0</v>
      </c>
      <c r="H153" s="51">
        <f>Inputs_Summary!J$22*H46/1000000</f>
        <v>0</v>
      </c>
      <c r="I153" s="51">
        <f>Inputs_Summary!K$22*I46/1000000</f>
        <v>0</v>
      </c>
      <c r="J153" s="51">
        <f>Inputs_Summary!L$22*J46/1000000</f>
        <v>0</v>
      </c>
      <c r="K153" s="51">
        <f>Inputs_Summary!M$22*K46/1000000</f>
        <v>0</v>
      </c>
      <c r="L153" s="51">
        <f>Inputs_Summary!N$22*L46/1000000</f>
        <v>0</v>
      </c>
      <c r="M153" s="51">
        <f>Inputs_Summary!O$22*M46/1000000</f>
        <v>0</v>
      </c>
      <c r="N153" s="51">
        <f>Inputs_Summary!P$22*N46/1000000</f>
        <v>0</v>
      </c>
      <c r="O153" s="51">
        <f>Inputs_Summary!R$22*O46/1000000</f>
        <v>0</v>
      </c>
      <c r="P153" s="97"/>
      <c r="Q153" s="39">
        <f>G153+N153</f>
        <v>0</v>
      </c>
      <c r="R153" s="5">
        <f>SUM(K153:L153)</f>
        <v>0</v>
      </c>
      <c r="T153" s="5">
        <f>SUM(C153:O153)</f>
        <v>0</v>
      </c>
    </row>
    <row r="154" spans="2:20" ht="15" x14ac:dyDescent="0.25">
      <c r="B154" s="3">
        <v>2030</v>
      </c>
      <c r="C154" s="51">
        <f>Inputs_Summary!E$22*C47/1000000</f>
        <v>0</v>
      </c>
      <c r="D154" s="51">
        <f>Inputs_Summary!F$22*D47/1000000</f>
        <v>0</v>
      </c>
      <c r="E154" s="51">
        <f>Inputs_Summary!G$22*E47/1000000</f>
        <v>0.12434336557062967</v>
      </c>
      <c r="F154" s="51">
        <f>Inputs_Summary!H$22*F47/1000000</f>
        <v>0</v>
      </c>
      <c r="G154" s="51">
        <f>Inputs_Summary!I$22*G47/1000000</f>
        <v>0</v>
      </c>
      <c r="H154" s="51">
        <f>Inputs_Summary!J$22*H47/1000000</f>
        <v>0</v>
      </c>
      <c r="I154" s="51">
        <f>Inputs_Summary!K$22*I47/1000000</f>
        <v>0</v>
      </c>
      <c r="J154" s="51">
        <f>Inputs_Summary!L$22*J47/1000000</f>
        <v>0</v>
      </c>
      <c r="K154" s="51">
        <f>Inputs_Summary!M$22*K47/1000000</f>
        <v>0</v>
      </c>
      <c r="L154" s="51">
        <f>Inputs_Summary!N$22*L47/1000000</f>
        <v>0</v>
      </c>
      <c r="M154" s="51">
        <f>Inputs_Summary!O$22*M47/1000000</f>
        <v>1.8206501226621743E-6</v>
      </c>
      <c r="N154" s="51">
        <f>Inputs_Summary!P$22*N47/1000000</f>
        <v>0</v>
      </c>
      <c r="O154" s="51">
        <f>Inputs_Summary!R$22*O47/1000000</f>
        <v>0</v>
      </c>
      <c r="P154" s="97"/>
      <c r="Q154" s="39">
        <f>G154+N154</f>
        <v>0</v>
      </c>
      <c r="R154" s="5">
        <f>SUM(K154:L154)</f>
        <v>0</v>
      </c>
      <c r="T154" s="5">
        <f t="shared" ref="T154:T156" si="65">SUM(C154:O154)</f>
        <v>0.12434518622075233</v>
      </c>
    </row>
    <row r="155" spans="2:20" ht="15" x14ac:dyDescent="0.25">
      <c r="B155" s="3">
        <v>2040</v>
      </c>
      <c r="C155" s="51">
        <f>Inputs_Summary!E$22*C48/1000000</f>
        <v>0</v>
      </c>
      <c r="D155" s="51">
        <f>Inputs_Summary!F$22*D48/1000000</f>
        <v>0</v>
      </c>
      <c r="E155" s="51">
        <f>Inputs_Summary!G$22*E48/1000000</f>
        <v>0.67511014380831247</v>
      </c>
      <c r="F155" s="51">
        <f>Inputs_Summary!H$22*F48/1000000</f>
        <v>0</v>
      </c>
      <c r="G155" s="51">
        <f>Inputs_Summary!I$22*G48/1000000</f>
        <v>0</v>
      </c>
      <c r="H155" s="51">
        <f>Inputs_Summary!J$22*H48/1000000</f>
        <v>0</v>
      </c>
      <c r="I155" s="51">
        <f>Inputs_Summary!K$22*I48/1000000</f>
        <v>0</v>
      </c>
      <c r="J155" s="51">
        <f>Inputs_Summary!L$22*J48/1000000</f>
        <v>0</v>
      </c>
      <c r="K155" s="51">
        <f>Inputs_Summary!M$22*K48/1000000</f>
        <v>0</v>
      </c>
      <c r="L155" s="51">
        <f>Inputs_Summary!N$22*L48/1000000</f>
        <v>0</v>
      </c>
      <c r="M155" s="51">
        <f>Inputs_Summary!O$22*M48/1000000</f>
        <v>1.8076060859752983E-6</v>
      </c>
      <c r="N155" s="51">
        <f>Inputs_Summary!P$22*N48/1000000</f>
        <v>0</v>
      </c>
      <c r="O155" s="51">
        <f>Inputs_Summary!R$22*O48/1000000</f>
        <v>0</v>
      </c>
      <c r="P155" s="97"/>
      <c r="Q155" s="39">
        <f>G155+N155</f>
        <v>0</v>
      </c>
      <c r="R155" s="5">
        <f>SUM(K155:L155)</f>
        <v>0</v>
      </c>
      <c r="T155" s="5">
        <f t="shared" si="65"/>
        <v>0.67511195141439839</v>
      </c>
    </row>
    <row r="156" spans="2:20" ht="15" x14ac:dyDescent="0.25">
      <c r="B156" s="3">
        <v>2050</v>
      </c>
      <c r="C156" s="51">
        <f>Inputs_Summary!E$22*C49/1000000</f>
        <v>0</v>
      </c>
      <c r="D156" s="51">
        <f>Inputs_Summary!F$22*D49/1000000</f>
        <v>0</v>
      </c>
      <c r="E156" s="51">
        <f>Inputs_Summary!G$22*E49/1000000</f>
        <v>1.5970282606228861</v>
      </c>
      <c r="F156" s="51">
        <f>Inputs_Summary!H$22*F49/1000000</f>
        <v>0</v>
      </c>
      <c r="G156" s="51">
        <f>Inputs_Summary!I$22*G49/1000000</f>
        <v>0</v>
      </c>
      <c r="H156" s="51">
        <f>Inputs_Summary!J$22*H49/1000000</f>
        <v>0</v>
      </c>
      <c r="I156" s="51">
        <f>Inputs_Summary!K$22*I49/1000000</f>
        <v>0</v>
      </c>
      <c r="J156" s="51">
        <f>Inputs_Summary!L$22*J49/1000000</f>
        <v>0</v>
      </c>
      <c r="K156" s="51">
        <f>Inputs_Summary!M$22*K49/1000000</f>
        <v>0</v>
      </c>
      <c r="L156" s="51">
        <f>Inputs_Summary!N$22*L49/1000000</f>
        <v>0</v>
      </c>
      <c r="M156" s="51">
        <f>Inputs_Summary!O$22*M49/1000000</f>
        <v>1.7859773356479321E-6</v>
      </c>
      <c r="N156" s="51">
        <f>Inputs_Summary!P$22*N49/1000000</f>
        <v>0</v>
      </c>
      <c r="O156" s="51">
        <f>Inputs_Summary!R$22*O49/1000000</f>
        <v>0</v>
      </c>
      <c r="P156" s="97"/>
      <c r="Q156" s="39">
        <f>G156+N156</f>
        <v>0</v>
      </c>
      <c r="R156" s="5">
        <f>SUM(K156:L156)</f>
        <v>0</v>
      </c>
      <c r="T156" s="5">
        <f t="shared" si="65"/>
        <v>1.5970300466002216</v>
      </c>
    </row>
    <row r="157" spans="2:20" ht="15" x14ac:dyDescent="0.25"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28"/>
    </row>
    <row r="158" spans="2:20" ht="30" x14ac:dyDescent="0.25">
      <c r="B158" s="43" t="s">
        <v>79</v>
      </c>
      <c r="C158" s="43" t="s">
        <v>0</v>
      </c>
      <c r="D158" s="43" t="s">
        <v>1</v>
      </c>
      <c r="E158" s="43" t="s">
        <v>28</v>
      </c>
      <c r="F158" s="2" t="s">
        <v>29</v>
      </c>
      <c r="G158" s="2" t="s">
        <v>6</v>
      </c>
      <c r="H158" s="43" t="s">
        <v>2</v>
      </c>
      <c r="I158" s="43" t="s">
        <v>3</v>
      </c>
      <c r="J158" s="43" t="s">
        <v>4</v>
      </c>
      <c r="K158" s="43" t="s">
        <v>9</v>
      </c>
      <c r="L158" s="43" t="s">
        <v>8</v>
      </c>
      <c r="M158" s="43" t="s">
        <v>25</v>
      </c>
      <c r="N158" s="43" t="s">
        <v>7</v>
      </c>
      <c r="O158" s="43" t="s">
        <v>89</v>
      </c>
      <c r="P158" s="25"/>
      <c r="Q158" s="43" t="s">
        <v>5</v>
      </c>
      <c r="R158" s="43" t="s">
        <v>91</v>
      </c>
      <c r="T158" s="43" t="s">
        <v>10</v>
      </c>
    </row>
    <row r="159" spans="2:20" ht="15" x14ac:dyDescent="0.25">
      <c r="B159" s="3">
        <v>2016</v>
      </c>
      <c r="C159" s="51">
        <f t="shared" ref="C159:O162" si="66">C141+C147+C153</f>
        <v>280.52467826386066</v>
      </c>
      <c r="D159" s="51">
        <f t="shared" si="66"/>
        <v>0</v>
      </c>
      <c r="E159" s="51">
        <f t="shared" si="66"/>
        <v>1.4970319768567157E-2</v>
      </c>
      <c r="F159" s="51">
        <f t="shared" si="66"/>
        <v>0</v>
      </c>
      <c r="G159" s="51">
        <f t="shared" si="66"/>
        <v>0</v>
      </c>
      <c r="H159" s="51">
        <f t="shared" si="66"/>
        <v>0</v>
      </c>
      <c r="I159" s="51">
        <f t="shared" si="66"/>
        <v>6.6213594050410038E-2</v>
      </c>
      <c r="J159" s="51">
        <f t="shared" si="66"/>
        <v>0</v>
      </c>
      <c r="K159" s="51">
        <f t="shared" si="66"/>
        <v>0</v>
      </c>
      <c r="L159" s="51">
        <f t="shared" si="66"/>
        <v>0.35950778379036846</v>
      </c>
      <c r="M159" s="51">
        <f t="shared" si="66"/>
        <v>0</v>
      </c>
      <c r="N159" s="51">
        <f t="shared" si="66"/>
        <v>5.9887859519957903E-4</v>
      </c>
      <c r="O159" s="51">
        <f t="shared" si="66"/>
        <v>0</v>
      </c>
      <c r="P159" s="97"/>
      <c r="Q159" s="39">
        <f>G159+N159</f>
        <v>5.9887859519957903E-4</v>
      </c>
      <c r="R159" s="5">
        <f>SUM(K159:L159)</f>
        <v>0.35950778379036846</v>
      </c>
      <c r="T159" s="5">
        <f>SUM(C159:O159)</f>
        <v>280.96596884006522</v>
      </c>
    </row>
    <row r="160" spans="2:20" ht="15" x14ac:dyDescent="0.25">
      <c r="B160" s="3">
        <v>2030</v>
      </c>
      <c r="C160" s="51">
        <f t="shared" ref="C160:N160" si="67">C142+C148+C154</f>
        <v>165.39912987381155</v>
      </c>
      <c r="D160" s="51">
        <f t="shared" si="67"/>
        <v>0</v>
      </c>
      <c r="E160" s="51">
        <f t="shared" si="67"/>
        <v>0.1681674849937686</v>
      </c>
      <c r="F160" s="51">
        <f t="shared" si="67"/>
        <v>0</v>
      </c>
      <c r="G160" s="51">
        <f t="shared" si="67"/>
        <v>0</v>
      </c>
      <c r="H160" s="51">
        <f t="shared" si="67"/>
        <v>0</v>
      </c>
      <c r="I160" s="51">
        <f t="shared" si="67"/>
        <v>0.40439852136308052</v>
      </c>
      <c r="J160" s="51">
        <f t="shared" si="67"/>
        <v>0</v>
      </c>
      <c r="K160" s="51">
        <f t="shared" si="67"/>
        <v>0</v>
      </c>
      <c r="L160" s="51">
        <f t="shared" si="67"/>
        <v>0.5848540177225412</v>
      </c>
      <c r="M160" s="51">
        <f t="shared" si="67"/>
        <v>1.8206501226621743E-6</v>
      </c>
      <c r="N160" s="51">
        <f t="shared" si="67"/>
        <v>9.8753694608488341E-4</v>
      </c>
      <c r="O160" s="51">
        <f t="shared" si="66"/>
        <v>0</v>
      </c>
      <c r="P160" s="97"/>
      <c r="Q160" s="39">
        <f>G160+N160</f>
        <v>9.8753694608488341E-4</v>
      </c>
      <c r="R160" s="5">
        <f>SUM(K160:L160)</f>
        <v>0.5848540177225412</v>
      </c>
      <c r="T160" s="5">
        <f t="shared" ref="T160:T162" si="68">SUM(C160:O160)</f>
        <v>166.55753925548714</v>
      </c>
    </row>
    <row r="161" spans="2:41" ht="15" x14ac:dyDescent="0.25">
      <c r="B161" s="3">
        <v>2040</v>
      </c>
      <c r="C161" s="51">
        <f t="shared" ref="C161:N161" si="69">C143+C149+C155</f>
        <v>64.9032202453932</v>
      </c>
      <c r="D161" s="51">
        <f t="shared" si="69"/>
        <v>0</v>
      </c>
      <c r="E161" s="51">
        <f t="shared" si="69"/>
        <v>0.71911269875920913</v>
      </c>
      <c r="F161" s="51">
        <f t="shared" si="69"/>
        <v>0</v>
      </c>
      <c r="G161" s="51">
        <f t="shared" si="69"/>
        <v>0</v>
      </c>
      <c r="H161" s="51">
        <f t="shared" si="69"/>
        <v>0</v>
      </c>
      <c r="I161" s="51">
        <f t="shared" si="69"/>
        <v>0.40249362181049975</v>
      </c>
      <c r="J161" s="51">
        <f t="shared" si="69"/>
        <v>0</v>
      </c>
      <c r="K161" s="51">
        <f t="shared" si="69"/>
        <v>0</v>
      </c>
      <c r="L161" s="51">
        <f t="shared" si="69"/>
        <v>0.5983929313780727</v>
      </c>
      <c r="M161" s="51">
        <f t="shared" si="69"/>
        <v>1.8076060859752983E-6</v>
      </c>
      <c r="N161" s="51">
        <f t="shared" si="69"/>
        <v>1.0263185665926417E-3</v>
      </c>
      <c r="O161" s="51">
        <f t="shared" si="66"/>
        <v>0</v>
      </c>
      <c r="P161" s="97"/>
      <c r="Q161" s="39">
        <f>G161+N161</f>
        <v>1.0263185665926417E-3</v>
      </c>
      <c r="R161" s="5">
        <f>SUM(K161:L161)</f>
        <v>0.5983929313780727</v>
      </c>
      <c r="T161" s="5">
        <f t="shared" si="68"/>
        <v>66.624247623513654</v>
      </c>
    </row>
    <row r="162" spans="2:41" ht="15" x14ac:dyDescent="0.25">
      <c r="B162" s="3">
        <v>2050</v>
      </c>
      <c r="C162" s="51">
        <f t="shared" ref="C162:N162" si="70">C144+C150+C156</f>
        <v>16.024753388489767</v>
      </c>
      <c r="D162" s="51">
        <f t="shared" si="70"/>
        <v>0</v>
      </c>
      <c r="E162" s="51">
        <f t="shared" si="70"/>
        <v>1.6424653558133957</v>
      </c>
      <c r="F162" s="51">
        <f t="shared" si="70"/>
        <v>0</v>
      </c>
      <c r="G162" s="51">
        <f t="shared" si="70"/>
        <v>0</v>
      </c>
      <c r="H162" s="51">
        <f t="shared" si="70"/>
        <v>0</v>
      </c>
      <c r="I162" s="51">
        <f t="shared" si="70"/>
        <v>0</v>
      </c>
      <c r="J162" s="51">
        <f t="shared" si="70"/>
        <v>0</v>
      </c>
      <c r="K162" s="51">
        <f t="shared" si="70"/>
        <v>0</v>
      </c>
      <c r="L162" s="51">
        <f t="shared" si="70"/>
        <v>0.38970839584560679</v>
      </c>
      <c r="M162" s="51">
        <f t="shared" si="70"/>
        <v>1.7859773356479321E-6</v>
      </c>
      <c r="N162" s="51">
        <f t="shared" si="70"/>
        <v>8.2022662822349478E-4</v>
      </c>
      <c r="O162" s="51">
        <f t="shared" si="66"/>
        <v>0</v>
      </c>
      <c r="P162" s="97"/>
      <c r="Q162" s="39">
        <f>G162+N162</f>
        <v>8.2022662822349478E-4</v>
      </c>
      <c r="R162" s="5">
        <f>SUM(K162:L162)</f>
        <v>0.38970839584560679</v>
      </c>
      <c r="T162" s="5">
        <f t="shared" si="68"/>
        <v>18.057749152754329</v>
      </c>
    </row>
    <row r="163" spans="2:41" ht="15" x14ac:dyDescent="0.25"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28"/>
    </row>
    <row r="164" spans="2:41" ht="15" x14ac:dyDescent="0.25">
      <c r="B164" s="3">
        <v>2016</v>
      </c>
      <c r="C164" s="23">
        <f t="shared" ref="C164:O167" si="71">IFERROR(C159/$T159,0)</f>
        <v>0.99842938068967435</v>
      </c>
      <c r="D164" s="23">
        <f t="shared" si="71"/>
        <v>0</v>
      </c>
      <c r="E164" s="23">
        <f t="shared" si="71"/>
        <v>5.3281612112564208E-5</v>
      </c>
      <c r="F164" s="23">
        <f t="shared" si="71"/>
        <v>0</v>
      </c>
      <c r="G164" s="23">
        <f t="shared" si="71"/>
        <v>0</v>
      </c>
      <c r="H164" s="23">
        <f t="shared" si="71"/>
        <v>0</v>
      </c>
      <c r="I164" s="23">
        <f t="shared" si="71"/>
        <v>2.3566410666660105E-4</v>
      </c>
      <c r="J164" s="23">
        <f t="shared" si="71"/>
        <v>0</v>
      </c>
      <c r="K164" s="23">
        <f t="shared" si="71"/>
        <v>0</v>
      </c>
      <c r="L164" s="23">
        <f t="shared" si="71"/>
        <v>1.2795420928539988E-3</v>
      </c>
      <c r="M164" s="23">
        <f t="shared" si="71"/>
        <v>0</v>
      </c>
      <c r="N164" s="23">
        <f t="shared" si="71"/>
        <v>2.1314986924287611E-6</v>
      </c>
      <c r="O164" s="23">
        <f t="shared" si="71"/>
        <v>0</v>
      </c>
      <c r="P164" s="26"/>
      <c r="Q164" s="7">
        <f t="shared" ref="Q164:R167" si="72">Q159/$T159</f>
        <v>2.1314986924287611E-6</v>
      </c>
      <c r="R164" s="7">
        <f t="shared" si="72"/>
        <v>1.2795420928539988E-3</v>
      </c>
      <c r="T164" s="8">
        <f>SUM(C164:O164)</f>
        <v>1</v>
      </c>
    </row>
    <row r="165" spans="2:41" ht="15" x14ac:dyDescent="0.25">
      <c r="B165" s="3">
        <v>2030</v>
      </c>
      <c r="C165" s="23">
        <f t="shared" si="71"/>
        <v>0.9930449898164101</v>
      </c>
      <c r="D165" s="23">
        <f t="shared" si="71"/>
        <v>0</v>
      </c>
      <c r="E165" s="23">
        <f t="shared" si="71"/>
        <v>1.0096660033852441E-3</v>
      </c>
      <c r="F165" s="23">
        <f t="shared" si="71"/>
        <v>0</v>
      </c>
      <c r="G165" s="23">
        <f t="shared" si="71"/>
        <v>0</v>
      </c>
      <c r="H165" s="23">
        <f t="shared" si="71"/>
        <v>0</v>
      </c>
      <c r="I165" s="23">
        <f t="shared" si="71"/>
        <v>2.4279808837879301E-3</v>
      </c>
      <c r="J165" s="23">
        <f t="shared" si="71"/>
        <v>0</v>
      </c>
      <c r="K165" s="23">
        <f t="shared" si="71"/>
        <v>0</v>
      </c>
      <c r="L165" s="23">
        <f t="shared" si="71"/>
        <v>3.5114232615157557E-3</v>
      </c>
      <c r="M165" s="23">
        <f t="shared" si="71"/>
        <v>1.0931058004341849E-8</v>
      </c>
      <c r="N165" s="23">
        <f t="shared" si="71"/>
        <v>5.9291038430273255E-6</v>
      </c>
      <c r="O165" s="23">
        <f t="shared" si="71"/>
        <v>0</v>
      </c>
      <c r="P165" s="26"/>
      <c r="Q165" s="7">
        <f t="shared" si="72"/>
        <v>5.9291038430273255E-6</v>
      </c>
      <c r="R165" s="7">
        <f t="shared" si="72"/>
        <v>3.5114232615157557E-3</v>
      </c>
      <c r="T165" s="8">
        <f t="shared" ref="T165:T167" si="73">SUM(C165:O165)</f>
        <v>1.0000000000000002</v>
      </c>
    </row>
    <row r="166" spans="2:41" ht="15" x14ac:dyDescent="0.25">
      <c r="B166" s="3">
        <v>2040</v>
      </c>
      <c r="C166" s="23">
        <f t="shared" si="71"/>
        <v>0.97416815289463699</v>
      </c>
      <c r="D166" s="23">
        <f t="shared" si="71"/>
        <v>0</v>
      </c>
      <c r="E166" s="23">
        <f t="shared" si="71"/>
        <v>1.0793558267597054E-2</v>
      </c>
      <c r="F166" s="23">
        <f t="shared" si="71"/>
        <v>0</v>
      </c>
      <c r="G166" s="23">
        <f t="shared" si="71"/>
        <v>0</v>
      </c>
      <c r="H166" s="23">
        <f t="shared" si="71"/>
        <v>0</v>
      </c>
      <c r="I166" s="23">
        <f t="shared" si="71"/>
        <v>6.0412482867340921E-3</v>
      </c>
      <c r="J166" s="23">
        <f t="shared" si="71"/>
        <v>0</v>
      </c>
      <c r="K166" s="23">
        <f t="shared" si="71"/>
        <v>0</v>
      </c>
      <c r="L166" s="23">
        <f t="shared" si="71"/>
        <v>8.9816088394652615E-3</v>
      </c>
      <c r="M166" s="23">
        <f t="shared" si="71"/>
        <v>2.7131354581141133E-8</v>
      </c>
      <c r="N166" s="23">
        <f t="shared" si="71"/>
        <v>1.5404580212181245E-5</v>
      </c>
      <c r="O166" s="23">
        <f t="shared" si="71"/>
        <v>0</v>
      </c>
      <c r="P166" s="26"/>
      <c r="Q166" s="7">
        <f t="shared" si="72"/>
        <v>1.5404580212181245E-5</v>
      </c>
      <c r="R166" s="7">
        <f t="shared" si="72"/>
        <v>8.9816088394652615E-3</v>
      </c>
      <c r="T166" s="8">
        <f t="shared" si="73"/>
        <v>1.0000000000000002</v>
      </c>
    </row>
    <row r="167" spans="2:41" ht="15" x14ac:dyDescent="0.25">
      <c r="B167" s="3">
        <v>2050</v>
      </c>
      <c r="C167" s="23">
        <f t="shared" si="71"/>
        <v>0.88741698940067115</v>
      </c>
      <c r="D167" s="23">
        <f t="shared" si="71"/>
        <v>0</v>
      </c>
      <c r="E167" s="23">
        <f t="shared" si="71"/>
        <v>9.0956261598244215E-2</v>
      </c>
      <c r="F167" s="23">
        <f t="shared" si="71"/>
        <v>0</v>
      </c>
      <c r="G167" s="23">
        <f t="shared" si="71"/>
        <v>0</v>
      </c>
      <c r="H167" s="23">
        <f t="shared" si="71"/>
        <v>0</v>
      </c>
      <c r="I167" s="23">
        <f t="shared" si="71"/>
        <v>0</v>
      </c>
      <c r="J167" s="23">
        <f t="shared" si="71"/>
        <v>0</v>
      </c>
      <c r="K167" s="23">
        <f t="shared" si="71"/>
        <v>0</v>
      </c>
      <c r="L167" s="23">
        <f t="shared" si="71"/>
        <v>2.1581227679539728E-2</v>
      </c>
      <c r="M167" s="23">
        <f t="shared" si="71"/>
        <v>9.8903651863804902E-8</v>
      </c>
      <c r="N167" s="23">
        <f t="shared" si="71"/>
        <v>4.5422417893006698E-5</v>
      </c>
      <c r="O167" s="23">
        <f t="shared" si="71"/>
        <v>0</v>
      </c>
      <c r="P167" s="26"/>
      <c r="Q167" s="7">
        <f t="shared" si="72"/>
        <v>4.5422417893006698E-5</v>
      </c>
      <c r="R167" s="7">
        <f t="shared" si="72"/>
        <v>2.1581227679539728E-2</v>
      </c>
      <c r="T167" s="8">
        <f t="shared" si="73"/>
        <v>0.99999999999999989</v>
      </c>
    </row>
    <row r="168" spans="2:41" s="11" customFormat="1" ht="15" x14ac:dyDescent="0.25">
      <c r="C168" s="12"/>
      <c r="D168" s="12"/>
      <c r="E168" s="14"/>
      <c r="F168" s="14"/>
      <c r="G168" s="14"/>
      <c r="H168" s="16"/>
      <c r="I168" s="14"/>
      <c r="J168" s="14"/>
      <c r="K168" s="16"/>
      <c r="L168" s="14"/>
      <c r="M168" s="16"/>
      <c r="N168" s="20"/>
      <c r="O168" s="20"/>
      <c r="P168" s="20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</row>
    <row r="169" spans="2:41" s="9" customFormat="1" ht="21" x14ac:dyDescent="0.35">
      <c r="B169" s="10" t="s">
        <v>18</v>
      </c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</row>
    <row r="170" spans="2:41" s="32" customFormat="1" ht="15" x14ac:dyDescent="0.25">
      <c r="B170" s="43"/>
      <c r="C170" s="40"/>
      <c r="D170" s="40"/>
      <c r="E170" s="40"/>
      <c r="P170" s="58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</row>
    <row r="171" spans="2:41" s="32" customFormat="1" ht="15.75" customHeight="1" x14ac:dyDescent="0.25">
      <c r="B171" s="33" t="s">
        <v>21</v>
      </c>
      <c r="C171" s="93">
        <f>Inputs_Summary!E27</f>
        <v>547</v>
      </c>
      <c r="D171" s="93">
        <f>Inputs_Summary!F27</f>
        <v>0</v>
      </c>
      <c r="E171" s="93">
        <f>Inputs_Summary!G27</f>
        <v>0</v>
      </c>
      <c r="F171" s="93">
        <f>Inputs_Summary!H27</f>
        <v>0</v>
      </c>
      <c r="G171" s="93">
        <f>Inputs_Summary!I27</f>
        <v>0</v>
      </c>
      <c r="H171" s="93">
        <f>Inputs_Summary!J27</f>
        <v>0</v>
      </c>
      <c r="I171" s="93">
        <f>Inputs_Summary!K27</f>
        <v>0</v>
      </c>
      <c r="J171" s="93">
        <f>Inputs_Summary!L27</f>
        <v>0</v>
      </c>
      <c r="K171" s="93">
        <f>Inputs_Summary!M27</f>
        <v>0</v>
      </c>
      <c r="L171" s="93">
        <f>Inputs_Summary!N27</f>
        <v>0</v>
      </c>
      <c r="M171" s="93">
        <f>Inputs_Summary!O27</f>
        <v>0</v>
      </c>
      <c r="N171" s="93">
        <f>Inputs_Summary!P27</f>
        <v>0</v>
      </c>
      <c r="O171" s="93">
        <f>Inputs_Summary!Q27</f>
        <v>0</v>
      </c>
      <c r="P171" s="99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</row>
    <row r="172" spans="2:41" s="32" customFormat="1" ht="15" x14ac:dyDescent="0.25">
      <c r="B172" s="33" t="s">
        <v>19</v>
      </c>
      <c r="C172" s="93">
        <f>Inputs_Summary!E28</f>
        <v>650</v>
      </c>
      <c r="D172" s="93">
        <f>Inputs_Summary!F28</f>
        <v>650</v>
      </c>
      <c r="E172" s="93">
        <f>Inputs_Summary!G28</f>
        <v>0</v>
      </c>
      <c r="F172" s="93">
        <f>Inputs_Summary!H28</f>
        <v>161</v>
      </c>
      <c r="G172" s="93">
        <f>Inputs_Summary!I28</f>
        <v>0</v>
      </c>
      <c r="H172" s="93">
        <f>Inputs_Summary!J28</f>
        <v>0</v>
      </c>
      <c r="I172" s="93">
        <f>Inputs_Summary!K28</f>
        <v>0</v>
      </c>
      <c r="J172" s="93">
        <f>Inputs_Summary!L28</f>
        <v>0</v>
      </c>
      <c r="K172" s="93">
        <f>Inputs_Summary!M28</f>
        <v>0</v>
      </c>
      <c r="L172" s="93">
        <f>Inputs_Summary!N28</f>
        <v>0</v>
      </c>
      <c r="M172" s="93">
        <f>Inputs_Summary!O28</f>
        <v>0</v>
      </c>
      <c r="N172" s="93">
        <f>Inputs_Summary!P28</f>
        <v>201</v>
      </c>
      <c r="O172" s="93">
        <f>Inputs_Summary!Q28</f>
        <v>0</v>
      </c>
      <c r="P172" s="99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</row>
    <row r="173" spans="2:41" s="32" customFormat="1" ht="15" x14ac:dyDescent="0.25">
      <c r="B173" s="33" t="s">
        <v>20</v>
      </c>
      <c r="C173" s="94">
        <f>Inputs_Summary!E29</f>
        <v>0.26832454873646205</v>
      </c>
      <c r="D173" s="94">
        <f>Inputs_Summary!F29</f>
        <v>0.12287246155234656</v>
      </c>
      <c r="E173" s="94">
        <f>Inputs_Summary!G29</f>
        <v>0.95</v>
      </c>
      <c r="F173" s="94">
        <f>Inputs_Summary!H29</f>
        <v>2.5</v>
      </c>
      <c r="G173" s="94">
        <f>Inputs_Summary!I29</f>
        <v>0.3</v>
      </c>
      <c r="H173" s="94">
        <f>Inputs_Summary!J29</f>
        <v>0.93</v>
      </c>
      <c r="I173" s="94">
        <f>Inputs_Summary!K29</f>
        <v>3.3</v>
      </c>
      <c r="J173" s="94">
        <f>Inputs_Summary!L29</f>
        <v>1.7</v>
      </c>
      <c r="K173" s="94">
        <f>Inputs_Summary!M29</f>
        <v>1.107</v>
      </c>
      <c r="L173" s="94">
        <f>Inputs_Summary!N29</f>
        <v>1.65</v>
      </c>
      <c r="M173" s="94">
        <f>Inputs_Summary!O29</f>
        <v>1.51</v>
      </c>
      <c r="N173" s="94">
        <f>Inputs_Summary!P29</f>
        <v>0.05</v>
      </c>
      <c r="O173" s="94">
        <f>Inputs_Summary!Q29</f>
        <v>0</v>
      </c>
      <c r="P173" s="100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</row>
    <row r="174" spans="2:41" s="58" customFormat="1" ht="15" x14ac:dyDescent="0.25">
      <c r="B174" s="67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</row>
    <row r="175" spans="2:41" ht="30" x14ac:dyDescent="0.25">
      <c r="B175" s="43" t="s">
        <v>45</v>
      </c>
      <c r="C175" s="43" t="s">
        <v>0</v>
      </c>
      <c r="D175" s="43" t="s">
        <v>1</v>
      </c>
      <c r="E175" s="43" t="s">
        <v>28</v>
      </c>
      <c r="F175" s="2" t="s">
        <v>29</v>
      </c>
      <c r="G175" s="2" t="s">
        <v>6</v>
      </c>
      <c r="H175" s="43" t="s">
        <v>2</v>
      </c>
      <c r="I175" s="43" t="s">
        <v>3</v>
      </c>
      <c r="J175" s="43" t="s">
        <v>4</v>
      </c>
      <c r="K175" s="43" t="s">
        <v>9</v>
      </c>
      <c r="L175" s="43" t="s">
        <v>8</v>
      </c>
      <c r="M175" s="43" t="s">
        <v>25</v>
      </c>
      <c r="N175" s="43" t="s">
        <v>7</v>
      </c>
      <c r="O175" s="43" t="s">
        <v>89</v>
      </c>
      <c r="P175" s="25"/>
      <c r="Q175" s="43" t="s">
        <v>5</v>
      </c>
      <c r="R175" s="43" t="s">
        <v>91</v>
      </c>
      <c r="T175" s="43" t="s">
        <v>10</v>
      </c>
    </row>
    <row r="176" spans="2:41" ht="15" x14ac:dyDescent="0.25">
      <c r="B176" s="3">
        <v>2016</v>
      </c>
      <c r="C176" s="19">
        <f t="shared" ref="C176:O176" si="74">((C$172+C$171)*C4+C$173*C34*1000)/1000000</f>
        <v>95.4358045170775</v>
      </c>
      <c r="D176" s="19">
        <f t="shared" si="74"/>
        <v>3.0206166863931165</v>
      </c>
      <c r="E176" s="19">
        <f t="shared" si="74"/>
        <v>0.71827291818882821</v>
      </c>
      <c r="F176" s="19">
        <f t="shared" si="74"/>
        <v>5.6112431781664789</v>
      </c>
      <c r="G176" s="19">
        <f t="shared" si="74"/>
        <v>4.7397372806457199</v>
      </c>
      <c r="H176" s="19">
        <f t="shared" si="74"/>
        <v>3.7406611452973988</v>
      </c>
      <c r="I176" s="19">
        <f t="shared" si="74"/>
        <v>2.7313107545794142</v>
      </c>
      <c r="J176" s="19">
        <f t="shared" si="74"/>
        <v>4.4864465988215327</v>
      </c>
      <c r="K176" s="19">
        <f t="shared" si="74"/>
        <v>0</v>
      </c>
      <c r="L176" s="19">
        <f t="shared" si="74"/>
        <v>2.6131623050841757</v>
      </c>
      <c r="M176" s="19">
        <f t="shared" si="74"/>
        <v>0</v>
      </c>
      <c r="N176" s="19">
        <f t="shared" si="74"/>
        <v>0.46729964879989472</v>
      </c>
      <c r="O176" s="19">
        <f t="shared" si="74"/>
        <v>0</v>
      </c>
      <c r="P176" s="62"/>
      <c r="Q176" s="39">
        <f>G176+N176</f>
        <v>5.2070369294456142</v>
      </c>
      <c r="R176" s="5">
        <f>SUM(K176:L176)</f>
        <v>2.6131623050841757</v>
      </c>
      <c r="T176" s="5">
        <f>SUM(C176:O176)</f>
        <v>123.56455503305405</v>
      </c>
    </row>
    <row r="177" spans="2:41" ht="15" x14ac:dyDescent="0.25">
      <c r="B177" s="3">
        <v>2030</v>
      </c>
      <c r="C177" s="19">
        <f t="shared" ref="C177:O177" si="75">((C$172+C$171)*C5+C$173*C35*1000)/1000000</f>
        <v>55.843533185993941</v>
      </c>
      <c r="D177" s="19">
        <f t="shared" si="75"/>
        <v>2.9808657377828349</v>
      </c>
      <c r="E177" s="19">
        <f t="shared" si="75"/>
        <v>2.1026723965647469</v>
      </c>
      <c r="F177" s="19">
        <f t="shared" si="75"/>
        <v>0.72234078279682568</v>
      </c>
      <c r="G177" s="19">
        <f t="shared" si="75"/>
        <v>3.4188443395805832</v>
      </c>
      <c r="H177" s="19">
        <f t="shared" si="75"/>
        <v>3.8938963253676477</v>
      </c>
      <c r="I177" s="19">
        <f t="shared" si="75"/>
        <v>2.7701421110017921</v>
      </c>
      <c r="J177" s="19">
        <f t="shared" si="75"/>
        <v>4.4597258242734403</v>
      </c>
      <c r="K177" s="19">
        <f t="shared" si="75"/>
        <v>0</v>
      </c>
      <c r="L177" s="19">
        <f t="shared" si="75"/>
        <v>2.5648217358242595</v>
      </c>
      <c r="M177" s="19">
        <f t="shared" si="75"/>
        <v>0</v>
      </c>
      <c r="N177" s="19">
        <f t="shared" si="75"/>
        <v>0.43293883970481339</v>
      </c>
      <c r="O177" s="19">
        <f t="shared" si="75"/>
        <v>0</v>
      </c>
      <c r="P177" s="62"/>
      <c r="Q177" s="39">
        <f>G177+N177</f>
        <v>3.8517831792853965</v>
      </c>
      <c r="R177" s="5">
        <f>SUM(K177:L177)</f>
        <v>2.5648217358242595</v>
      </c>
      <c r="T177" s="5">
        <f t="shared" ref="T177:T179" si="76">SUM(C177:O177)</f>
        <v>79.189781278890877</v>
      </c>
    </row>
    <row r="178" spans="2:41" ht="15" x14ac:dyDescent="0.25">
      <c r="B178" s="3">
        <v>2040</v>
      </c>
      <c r="C178" s="19">
        <f t="shared" ref="C178:O178" si="77">((C$172+C$171)*C6+C$173*C36*1000)/1000000</f>
        <v>18.566919983445391</v>
      </c>
      <c r="D178" s="19">
        <f t="shared" si="77"/>
        <v>2.9188383966005622</v>
      </c>
      <c r="E178" s="19">
        <f t="shared" si="77"/>
        <v>2.1112336971389825</v>
      </c>
      <c r="F178" s="19">
        <f t="shared" si="77"/>
        <v>0.38022406872201525</v>
      </c>
      <c r="G178" s="19">
        <f t="shared" si="77"/>
        <v>3.5862904745749913</v>
      </c>
      <c r="H178" s="19">
        <f t="shared" si="77"/>
        <v>0</v>
      </c>
      <c r="I178" s="19">
        <f t="shared" si="77"/>
        <v>2.8267946507843709</v>
      </c>
      <c r="J178" s="19">
        <f t="shared" si="77"/>
        <v>1.3196528653222999</v>
      </c>
      <c r="K178" s="19">
        <f t="shared" si="77"/>
        <v>0</v>
      </c>
      <c r="L178" s="19">
        <f t="shared" si="77"/>
        <v>2.6395567870454295</v>
      </c>
      <c r="M178" s="19">
        <f t="shared" si="77"/>
        <v>0</v>
      </c>
      <c r="N178" s="19">
        <f t="shared" si="77"/>
        <v>0.4363798888727099</v>
      </c>
      <c r="O178" s="19">
        <f t="shared" si="77"/>
        <v>0</v>
      </c>
      <c r="P178" s="62"/>
      <c r="Q178" s="39">
        <f>G178+N178</f>
        <v>4.022670363447701</v>
      </c>
      <c r="R178" s="5">
        <f>SUM(K178:L178)</f>
        <v>2.6395567870454295</v>
      </c>
      <c r="T178" s="5">
        <f t="shared" si="76"/>
        <v>34.78589081250675</v>
      </c>
    </row>
    <row r="179" spans="2:41" ht="15" x14ac:dyDescent="0.25">
      <c r="B179" s="3">
        <v>2050</v>
      </c>
      <c r="C179" s="19">
        <f t="shared" ref="C179:O179" si="78">((C$172+C$171)*C7+C$173*C37*1000)/1000000</f>
        <v>0.80198999999999998</v>
      </c>
      <c r="D179" s="19">
        <f t="shared" si="78"/>
        <v>0</v>
      </c>
      <c r="E179" s="19">
        <f t="shared" si="78"/>
        <v>2.1800626480295051</v>
      </c>
      <c r="F179" s="19">
        <f t="shared" si="78"/>
        <v>0</v>
      </c>
      <c r="G179" s="19">
        <f t="shared" si="78"/>
        <v>3.7676489400395092</v>
      </c>
      <c r="H179" s="19">
        <f t="shared" si="78"/>
        <v>0</v>
      </c>
      <c r="I179" s="19">
        <f t="shared" si="78"/>
        <v>0</v>
      </c>
      <c r="J179" s="19">
        <f t="shared" si="78"/>
        <v>0</v>
      </c>
      <c r="K179" s="19">
        <f t="shared" si="78"/>
        <v>0</v>
      </c>
      <c r="L179" s="19">
        <f t="shared" si="78"/>
        <v>2.8326821724460403</v>
      </c>
      <c r="M179" s="19">
        <f t="shared" si="78"/>
        <v>0</v>
      </c>
      <c r="N179" s="19">
        <f t="shared" si="78"/>
        <v>0.40530150788196684</v>
      </c>
      <c r="O179" s="19">
        <f t="shared" si="78"/>
        <v>0</v>
      </c>
      <c r="P179" s="62"/>
      <c r="Q179" s="39">
        <f>G179+N179</f>
        <v>4.1729504479214761</v>
      </c>
      <c r="R179" s="5">
        <f>SUM(K179:L179)</f>
        <v>2.8326821724460403</v>
      </c>
      <c r="T179" s="5">
        <f t="shared" si="76"/>
        <v>9.987685268397021</v>
      </c>
    </row>
    <row r="180" spans="2:41" ht="15" x14ac:dyDescent="0.25">
      <c r="B180" s="43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69"/>
      <c r="Q180" s="5"/>
      <c r="R180" s="5"/>
      <c r="S180" s="5"/>
      <c r="T180" s="5"/>
    </row>
    <row r="181" spans="2:41" s="32" customFormat="1" ht="15.75" customHeight="1" x14ac:dyDescent="0.25">
      <c r="B181" s="33" t="s">
        <v>21</v>
      </c>
      <c r="C181" s="93">
        <f>Inputs_Summary!E32</f>
        <v>4602</v>
      </c>
      <c r="D181" s="93">
        <f>Inputs_Summary!F32</f>
        <v>6454.9045250562804</v>
      </c>
      <c r="E181" s="93">
        <f>Inputs_Summary!G32</f>
        <v>901.10972649676557</v>
      </c>
      <c r="F181" s="93">
        <f>Inputs_Summary!H32</f>
        <v>794.35459770843181</v>
      </c>
      <c r="G181" s="93">
        <f>Inputs_Summary!I32</f>
        <v>0</v>
      </c>
      <c r="H181" s="93">
        <f>Inputs_Summary!J32</f>
        <v>0</v>
      </c>
      <c r="I181" s="93">
        <f>Inputs_Summary!K32</f>
        <v>0</v>
      </c>
      <c r="J181" s="93">
        <f>Inputs_Summary!L32</f>
        <v>0</v>
      </c>
      <c r="K181" s="93">
        <f>Inputs_Summary!M32</f>
        <v>2810</v>
      </c>
      <c r="L181" s="93">
        <f>Inputs_Summary!N32</f>
        <v>0</v>
      </c>
      <c r="M181" s="93">
        <f>Inputs_Summary!O32</f>
        <v>0</v>
      </c>
      <c r="N181" s="93">
        <f>Inputs_Summary!P32</f>
        <v>2328.2524449730454</v>
      </c>
      <c r="O181" s="93">
        <f>Inputs_Summary!Q32</f>
        <v>0</v>
      </c>
      <c r="P181" s="99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</row>
    <row r="182" spans="2:41" s="32" customFormat="1" ht="15" x14ac:dyDescent="0.25">
      <c r="B182" s="33" t="s">
        <v>19</v>
      </c>
      <c r="C182" s="93">
        <f>Inputs_Summary!E33</f>
        <v>924</v>
      </c>
      <c r="D182" s="93">
        <f>Inputs_Summary!F33</f>
        <v>968.06859205776175</v>
      </c>
      <c r="E182" s="93">
        <f>Inputs_Summary!G33</f>
        <v>165.17328519855596</v>
      </c>
      <c r="F182" s="93">
        <f>Inputs_Summary!H33</f>
        <v>160.79783393501805</v>
      </c>
      <c r="G182" s="93">
        <f>Inputs_Summary!I33</f>
        <v>0</v>
      </c>
      <c r="H182" s="93">
        <f>Inputs_Summary!J33</f>
        <v>0</v>
      </c>
      <c r="I182" s="93">
        <f>Inputs_Summary!K33</f>
        <v>0</v>
      </c>
      <c r="J182" s="93">
        <f>Inputs_Summary!L33</f>
        <v>0</v>
      </c>
      <c r="K182" s="93">
        <f>Inputs_Summary!M33</f>
        <v>2373</v>
      </c>
      <c r="L182" s="93">
        <f>Inputs_Summary!N33</f>
        <v>0</v>
      </c>
      <c r="M182" s="93">
        <f>Inputs_Summary!O33</f>
        <v>0</v>
      </c>
      <c r="N182" s="93">
        <f>Inputs_Summary!P33</f>
        <v>201.27075812274367</v>
      </c>
      <c r="O182" s="93">
        <f>Inputs_Summary!Q33</f>
        <v>0</v>
      </c>
      <c r="P182" s="99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</row>
    <row r="183" spans="2:41" s="32" customFormat="1" ht="15" x14ac:dyDescent="0.25">
      <c r="B183" s="33" t="s">
        <v>20</v>
      </c>
      <c r="C183" s="93">
        <f>Inputs_Summary!E34</f>
        <v>0.36168632057761729</v>
      </c>
      <c r="D183" s="93">
        <f>Inputs_Summary!F34</f>
        <v>0.12287246155234656</v>
      </c>
      <c r="E183" s="93">
        <f>Inputs_Summary!G34</f>
        <v>1.1311272563176895</v>
      </c>
      <c r="F183" s="93">
        <f>Inputs_Summary!H34</f>
        <v>1.730256498194946</v>
      </c>
      <c r="G183" s="93">
        <f>Inputs_Summary!I34</f>
        <v>1.24</v>
      </c>
      <c r="H183" s="93">
        <f>Inputs_Summary!J34</f>
        <v>0.70507456548359604</v>
      </c>
      <c r="I183" s="93">
        <f>Inputs_Summary!K34</f>
        <v>2.2907692307692309</v>
      </c>
      <c r="J183" s="93">
        <f>Inputs_Summary!L34</f>
        <v>0.79657730380457292</v>
      </c>
      <c r="K183" s="93">
        <f>Inputs_Summary!M34</f>
        <v>0.09</v>
      </c>
      <c r="L183" s="93">
        <f>Inputs_Summary!N34</f>
        <v>1.61</v>
      </c>
      <c r="M183" s="93">
        <f>Inputs_Summary!O34</f>
        <v>1.51</v>
      </c>
      <c r="N183" s="93">
        <f>Inputs_Summary!P34</f>
        <v>0</v>
      </c>
      <c r="O183" s="93">
        <f>Inputs_Summary!Q34</f>
        <v>0</v>
      </c>
      <c r="P183" s="99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</row>
    <row r="184" spans="2:41" s="58" customFormat="1" ht="15" x14ac:dyDescent="0.25">
      <c r="B184" s="67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</row>
    <row r="185" spans="2:41" ht="30" x14ac:dyDescent="0.25">
      <c r="B185" s="43" t="s">
        <v>46</v>
      </c>
      <c r="C185" s="43" t="s">
        <v>0</v>
      </c>
      <c r="D185" s="43" t="s">
        <v>1</v>
      </c>
      <c r="E185" s="43" t="s">
        <v>28</v>
      </c>
      <c r="F185" s="2" t="s">
        <v>29</v>
      </c>
      <c r="G185" s="2" t="s">
        <v>6</v>
      </c>
      <c r="H185" s="43" t="s">
        <v>2</v>
      </c>
      <c r="I185" s="43" t="s">
        <v>3</v>
      </c>
      <c r="J185" s="43" t="s">
        <v>4</v>
      </c>
      <c r="K185" s="43" t="s">
        <v>9</v>
      </c>
      <c r="L185" s="43" t="s">
        <v>8</v>
      </c>
      <c r="M185" s="43" t="s">
        <v>25</v>
      </c>
      <c r="N185" s="43" t="s">
        <v>7</v>
      </c>
      <c r="O185" s="43" t="s">
        <v>89</v>
      </c>
      <c r="P185" s="25"/>
      <c r="Q185" s="43" t="s">
        <v>5</v>
      </c>
      <c r="R185" s="43" t="s">
        <v>91</v>
      </c>
      <c r="T185" s="43" t="s">
        <v>10</v>
      </c>
    </row>
    <row r="186" spans="2:41" ht="15" x14ac:dyDescent="0.25">
      <c r="B186" s="3">
        <v>2016</v>
      </c>
      <c r="C186" s="19">
        <f t="shared" ref="C186:O186" si="79">((C$182+C$181)*C10+C$183*C40*1000)/1000000</f>
        <v>3.9897719999999999</v>
      </c>
      <c r="D186" s="19">
        <f t="shared" si="79"/>
        <v>0</v>
      </c>
      <c r="E186" s="19">
        <f t="shared" si="79"/>
        <v>0</v>
      </c>
      <c r="F186" s="19">
        <f t="shared" si="79"/>
        <v>0</v>
      </c>
      <c r="G186" s="19">
        <f t="shared" si="79"/>
        <v>0</v>
      </c>
      <c r="H186" s="19">
        <f t="shared" si="79"/>
        <v>0</v>
      </c>
      <c r="I186" s="19">
        <f t="shared" si="79"/>
        <v>0</v>
      </c>
      <c r="J186" s="19">
        <f t="shared" si="79"/>
        <v>0</v>
      </c>
      <c r="K186" s="19">
        <f t="shared" si="79"/>
        <v>0</v>
      </c>
      <c r="L186" s="19">
        <f t="shared" si="79"/>
        <v>0</v>
      </c>
      <c r="M186" s="19">
        <f t="shared" si="79"/>
        <v>0</v>
      </c>
      <c r="N186" s="19">
        <f t="shared" si="79"/>
        <v>0</v>
      </c>
      <c r="O186" s="19">
        <f t="shared" si="79"/>
        <v>0</v>
      </c>
      <c r="P186" s="62"/>
      <c r="Q186" s="39">
        <f>G186+N186</f>
        <v>0</v>
      </c>
      <c r="R186" s="5">
        <f>SUM(K186:L186)</f>
        <v>0</v>
      </c>
      <c r="T186" s="5">
        <f>SUM(C186:O186)</f>
        <v>3.9897719999999999</v>
      </c>
    </row>
    <row r="187" spans="2:41" ht="15" x14ac:dyDescent="0.25">
      <c r="B187" s="3">
        <v>2030</v>
      </c>
      <c r="C187" s="19">
        <f t="shared" ref="C187:O187" si="80">((C$182+C$181)*C11+C$183*C41*1000)/1000000</f>
        <v>74.569344196522891</v>
      </c>
      <c r="D187" s="19">
        <f t="shared" si="80"/>
        <v>0</v>
      </c>
      <c r="E187" s="19">
        <f t="shared" si="80"/>
        <v>0</v>
      </c>
      <c r="F187" s="19">
        <f t="shared" si="80"/>
        <v>0</v>
      </c>
      <c r="G187" s="19">
        <f t="shared" si="80"/>
        <v>0.24030541675025671</v>
      </c>
      <c r="H187" s="19">
        <f t="shared" si="80"/>
        <v>6.3300142389718346</v>
      </c>
      <c r="I187" s="19">
        <f t="shared" si="80"/>
        <v>9.6568396629326081</v>
      </c>
      <c r="J187" s="19">
        <f t="shared" si="80"/>
        <v>1.8825314325758533</v>
      </c>
      <c r="K187" s="19">
        <f t="shared" si="80"/>
        <v>0.30646092987098045</v>
      </c>
      <c r="L187" s="19">
        <f t="shared" si="80"/>
        <v>1.6454393226224497</v>
      </c>
      <c r="M187" s="19">
        <f t="shared" si="80"/>
        <v>0</v>
      </c>
      <c r="N187" s="19">
        <f t="shared" si="80"/>
        <v>3.3693249065235911</v>
      </c>
      <c r="O187" s="19">
        <f t="shared" si="80"/>
        <v>0</v>
      </c>
      <c r="P187" s="62"/>
      <c r="Q187" s="39">
        <f>G187+N187</f>
        <v>3.6096303232738478</v>
      </c>
      <c r="R187" s="5">
        <f>SUM(K187:L187)</f>
        <v>1.9519002524934301</v>
      </c>
      <c r="T187" s="5">
        <f t="shared" ref="T187:T189" si="81">SUM(C187:O187)</f>
        <v>98.000260106770469</v>
      </c>
    </row>
    <row r="188" spans="2:41" ht="15" x14ac:dyDescent="0.25">
      <c r="B188" s="3">
        <v>2040</v>
      </c>
      <c r="C188" s="19">
        <f t="shared" ref="C188:O188" si="82">((C$182+C$181)*C12+C$183*C42*1000)/1000000</f>
        <v>75.349271347488937</v>
      </c>
      <c r="D188" s="19">
        <f t="shared" si="82"/>
        <v>0</v>
      </c>
      <c r="E188" s="19">
        <f t="shared" si="82"/>
        <v>0</v>
      </c>
      <c r="F188" s="19">
        <f t="shared" si="82"/>
        <v>0</v>
      </c>
      <c r="G188" s="19">
        <f t="shared" si="82"/>
        <v>0.24406699063079806</v>
      </c>
      <c r="H188" s="19">
        <f t="shared" si="82"/>
        <v>0</v>
      </c>
      <c r="I188" s="19">
        <f t="shared" si="82"/>
        <v>9.562966962056052</v>
      </c>
      <c r="J188" s="19">
        <f t="shared" si="82"/>
        <v>1.8934658467336265</v>
      </c>
      <c r="K188" s="19">
        <f t="shared" si="82"/>
        <v>0.30660324741746403</v>
      </c>
      <c r="L188" s="19">
        <f t="shared" si="82"/>
        <v>1.668540924427599</v>
      </c>
      <c r="M188" s="19">
        <f t="shared" si="82"/>
        <v>0</v>
      </c>
      <c r="N188" s="19">
        <f t="shared" si="82"/>
        <v>3.3693249065235911</v>
      </c>
      <c r="O188" s="19">
        <f t="shared" si="82"/>
        <v>0</v>
      </c>
      <c r="P188" s="62"/>
      <c r="Q188" s="39">
        <f>G188+N188</f>
        <v>3.613391897154389</v>
      </c>
      <c r="R188" s="5">
        <f>SUM(K188:L188)</f>
        <v>1.9751441718450631</v>
      </c>
      <c r="T188" s="5">
        <f t="shared" si="81"/>
        <v>92.394240225278082</v>
      </c>
    </row>
    <row r="189" spans="2:41" ht="15" x14ac:dyDescent="0.25">
      <c r="B189" s="3">
        <v>2050</v>
      </c>
      <c r="C189" s="19">
        <f t="shared" ref="C189:O189" si="83">((C$182+C$181)*C13+C$183*C43*1000)/1000000</f>
        <v>77.786559771630166</v>
      </c>
      <c r="D189" s="19">
        <f t="shared" si="83"/>
        <v>0</v>
      </c>
      <c r="E189" s="19">
        <f t="shared" si="83"/>
        <v>0</v>
      </c>
      <c r="F189" s="19">
        <f t="shared" si="83"/>
        <v>0</v>
      </c>
      <c r="G189" s="19">
        <f t="shared" si="83"/>
        <v>0.2384966657449854</v>
      </c>
      <c r="H189" s="19">
        <f t="shared" si="83"/>
        <v>0</v>
      </c>
      <c r="I189" s="19">
        <f t="shared" si="83"/>
        <v>0</v>
      </c>
      <c r="J189" s="19">
        <f t="shared" si="83"/>
        <v>0</v>
      </c>
      <c r="K189" s="19">
        <f t="shared" si="83"/>
        <v>0</v>
      </c>
      <c r="L189" s="19">
        <f t="shared" si="83"/>
        <v>0</v>
      </c>
      <c r="M189" s="19">
        <f t="shared" si="83"/>
        <v>0</v>
      </c>
      <c r="N189" s="19">
        <f t="shared" si="83"/>
        <v>3.3693249065235911</v>
      </c>
      <c r="O189" s="19">
        <f t="shared" si="83"/>
        <v>0</v>
      </c>
      <c r="P189" s="62"/>
      <c r="Q189" s="39">
        <f>G189+N189</f>
        <v>3.6078215722685765</v>
      </c>
      <c r="R189" s="5">
        <f>SUM(K189:L189)</f>
        <v>0</v>
      </c>
      <c r="T189" s="5">
        <f t="shared" si="81"/>
        <v>81.394381343898743</v>
      </c>
    </row>
    <row r="190" spans="2:41" ht="15" x14ac:dyDescent="0.25"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69"/>
      <c r="Q190" s="5"/>
      <c r="R190" s="5"/>
      <c r="S190" s="5"/>
      <c r="T190" s="5"/>
    </row>
    <row r="191" spans="2:41" ht="15" x14ac:dyDescent="0.25">
      <c r="Q191" s="5"/>
      <c r="R191" s="5"/>
      <c r="S191" s="5"/>
      <c r="T191" s="5"/>
      <c r="W191" s="5"/>
    </row>
    <row r="192" spans="2:41" ht="15" x14ac:dyDescent="0.25">
      <c r="B192" s="33" t="s">
        <v>21</v>
      </c>
      <c r="C192" s="95">
        <f>Inputs_Summary!E37</f>
        <v>3559.4976938012715</v>
      </c>
      <c r="D192" s="81">
        <f>Inputs_Summary!F37</f>
        <v>6454.9045250562804</v>
      </c>
      <c r="E192" s="95">
        <f>Inputs_Summary!G37</f>
        <v>901.10972649676557</v>
      </c>
      <c r="F192" s="95">
        <f>Inputs_Summary!H37</f>
        <v>794.35459770843181</v>
      </c>
      <c r="G192" s="95">
        <f>Inputs_Summary!I37</f>
        <v>5564</v>
      </c>
      <c r="H192" s="95">
        <f>Inputs_Summary!J37</f>
        <v>1911</v>
      </c>
      <c r="I192" s="95">
        <f>Inputs_Summary!K37</f>
        <v>10206</v>
      </c>
      <c r="J192" s="95">
        <f>Inputs_Summary!L37</f>
        <v>1073</v>
      </c>
      <c r="K192" s="95">
        <f>Inputs_Summary!M37</f>
        <v>1154.0789960129314</v>
      </c>
      <c r="L192" s="95">
        <f>Inputs_Summary!N37</f>
        <v>4395</v>
      </c>
      <c r="M192" s="95">
        <f>Inputs_Summary!O37</f>
        <v>0</v>
      </c>
      <c r="N192" s="95">
        <f>Inputs_Summary!P37</f>
        <v>2328.2524449730454</v>
      </c>
      <c r="O192" s="95">
        <f>Inputs_Summary!Q37</f>
        <v>2512</v>
      </c>
      <c r="P192" s="101"/>
      <c r="Q192" s="5"/>
      <c r="R192" s="5"/>
      <c r="S192" s="5"/>
      <c r="T192" s="5"/>
    </row>
    <row r="193" spans="1:41" ht="15" x14ac:dyDescent="0.25">
      <c r="B193" s="3">
        <v>2030</v>
      </c>
      <c r="C193" s="95">
        <f>Inputs_Summary!E38</f>
        <v>3559.4976938012715</v>
      </c>
      <c r="D193" s="81">
        <f>Inputs_Summary!F38</f>
        <v>6281</v>
      </c>
      <c r="E193" s="95">
        <f>Inputs_Summary!G38</f>
        <v>901.10972649676557</v>
      </c>
      <c r="F193" s="95">
        <f>Inputs_Summary!H38</f>
        <v>794.35459770843181</v>
      </c>
      <c r="G193" s="95">
        <f>Inputs_Summary!I38</f>
        <v>5564</v>
      </c>
      <c r="H193" s="95">
        <f>Inputs_Summary!J38</f>
        <v>1911</v>
      </c>
      <c r="I193" s="95">
        <f>Inputs_Summary!K38</f>
        <v>8246</v>
      </c>
      <c r="J193" s="95">
        <f>Inputs_Summary!L38</f>
        <v>967</v>
      </c>
      <c r="K193" s="95">
        <f>Inputs_Summary!M38</f>
        <v>1154.0789960129314</v>
      </c>
      <c r="L193" s="95">
        <f>Inputs_Summary!N38</f>
        <v>4395</v>
      </c>
      <c r="M193" s="95">
        <f>Inputs_Summary!O38</f>
        <v>0</v>
      </c>
      <c r="N193" s="95">
        <f>Inputs_Summary!P38</f>
        <v>2328.2524449730454</v>
      </c>
      <c r="O193" s="95">
        <f>Inputs_Summary!Q38</f>
        <v>2512</v>
      </c>
      <c r="P193" s="101"/>
      <c r="Q193" s="5"/>
      <c r="R193" s="5"/>
      <c r="S193" s="5"/>
      <c r="T193" s="5"/>
    </row>
    <row r="194" spans="1:41" ht="15" x14ac:dyDescent="0.25">
      <c r="B194" s="3">
        <v>2040</v>
      </c>
      <c r="C194" s="95">
        <f>Inputs_Summary!E39</f>
        <v>3559.4976938012715</v>
      </c>
      <c r="D194" s="81">
        <f>Inputs_Summary!F39</f>
        <v>6281</v>
      </c>
      <c r="E194" s="95">
        <f>Inputs_Summary!G39</f>
        <v>901.10972649676557</v>
      </c>
      <c r="F194" s="95">
        <f>Inputs_Summary!H39</f>
        <v>794.35459770843181</v>
      </c>
      <c r="G194" s="95">
        <f>Inputs_Summary!I39</f>
        <v>5564</v>
      </c>
      <c r="H194" s="95">
        <f>Inputs_Summary!J39</f>
        <v>1911</v>
      </c>
      <c r="I194" s="95">
        <f>Inputs_Summary!K39</f>
        <v>7196</v>
      </c>
      <c r="J194" s="95">
        <f>Inputs_Summary!L39</f>
        <v>911</v>
      </c>
      <c r="K194" s="95">
        <f>Inputs_Summary!M39</f>
        <v>1154.0789960129314</v>
      </c>
      <c r="L194" s="95">
        <f>Inputs_Summary!N39</f>
        <v>4395</v>
      </c>
      <c r="M194" s="95">
        <f>Inputs_Summary!O39</f>
        <v>0</v>
      </c>
      <c r="N194" s="95">
        <f>Inputs_Summary!P39</f>
        <v>2328.2524449730454</v>
      </c>
      <c r="O194" s="95">
        <f>Inputs_Summary!Q39</f>
        <v>2512</v>
      </c>
      <c r="P194" s="101"/>
      <c r="Q194" s="5"/>
      <c r="R194" s="5"/>
      <c r="S194" s="5"/>
      <c r="T194" s="5"/>
    </row>
    <row r="195" spans="1:41" ht="15" x14ac:dyDescent="0.25">
      <c r="B195" s="3">
        <v>2050</v>
      </c>
      <c r="C195" s="95">
        <f>Inputs_Summary!E40</f>
        <v>3559.4976938012715</v>
      </c>
      <c r="D195" s="81">
        <f>Inputs_Summary!F40</f>
        <v>6281</v>
      </c>
      <c r="E195" s="95">
        <f>Inputs_Summary!G40</f>
        <v>901.10972649676557</v>
      </c>
      <c r="F195" s="95">
        <f>Inputs_Summary!H40</f>
        <v>794.35459770843181</v>
      </c>
      <c r="G195" s="95">
        <f>Inputs_Summary!I40</f>
        <v>5564</v>
      </c>
      <c r="H195" s="95">
        <f>Inputs_Summary!J40</f>
        <v>1911</v>
      </c>
      <c r="I195" s="95">
        <f>Inputs_Summary!K40</f>
        <v>6146</v>
      </c>
      <c r="J195" s="95">
        <f>Inputs_Summary!L40</f>
        <v>854</v>
      </c>
      <c r="K195" s="95">
        <f>Inputs_Summary!M40</f>
        <v>1154.0789960129314</v>
      </c>
      <c r="L195" s="95">
        <f>Inputs_Summary!N40</f>
        <v>4395</v>
      </c>
      <c r="M195" s="95">
        <f>Inputs_Summary!O40</f>
        <v>0</v>
      </c>
      <c r="N195" s="95">
        <f>Inputs_Summary!P40</f>
        <v>2328.2524449730454</v>
      </c>
      <c r="O195" s="95">
        <f>Inputs_Summary!Q40</f>
        <v>2512</v>
      </c>
      <c r="P195" s="101"/>
      <c r="Q195" s="5"/>
      <c r="R195" s="5"/>
      <c r="S195" s="5"/>
      <c r="T195" s="5"/>
    </row>
    <row r="196" spans="1:41" s="32" customFormat="1" ht="15" x14ac:dyDescent="0.25">
      <c r="B196" s="33" t="s">
        <v>19</v>
      </c>
      <c r="C196" s="95">
        <f>Inputs_Summary!E41</f>
        <v>924</v>
      </c>
      <c r="D196" s="95">
        <f>Inputs_Summary!F41</f>
        <v>968.06859205776175</v>
      </c>
      <c r="E196" s="95">
        <f>Inputs_Summary!G41</f>
        <v>165.17328519855596</v>
      </c>
      <c r="F196" s="95">
        <f>Inputs_Summary!H41</f>
        <v>160.79783393501805</v>
      </c>
      <c r="G196" s="95">
        <f>Inputs_Summary!I41</f>
        <v>907.42483754512637</v>
      </c>
      <c r="H196" s="95">
        <f>Inputs_Summary!J41</f>
        <v>0</v>
      </c>
      <c r="I196" s="95">
        <f>Inputs_Summary!K41</f>
        <v>0</v>
      </c>
      <c r="J196" s="95">
        <f>Inputs_Summary!L41</f>
        <v>0</v>
      </c>
      <c r="K196" s="95">
        <f>Inputs_Summary!M41</f>
        <v>422</v>
      </c>
      <c r="L196" s="95">
        <f>Inputs_Summary!N41</f>
        <v>1655.0144404332129</v>
      </c>
      <c r="M196" s="95">
        <f>Inputs_Summary!O41</f>
        <v>0</v>
      </c>
      <c r="N196" s="95">
        <f>Inputs_Summary!P41</f>
        <v>201.27075812274367</v>
      </c>
      <c r="O196" s="95">
        <f>Inputs_Summary!Q41</f>
        <v>618</v>
      </c>
      <c r="P196" s="101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</row>
    <row r="197" spans="1:41" ht="15" x14ac:dyDescent="0.25">
      <c r="B197" s="3">
        <v>2030</v>
      </c>
      <c r="C197" s="95">
        <f>Inputs_Summary!E42</f>
        <v>924</v>
      </c>
      <c r="D197" s="95">
        <f>Inputs_Summary!F42</f>
        <v>968.06859205776175</v>
      </c>
      <c r="E197" s="95">
        <f>Inputs_Summary!G42</f>
        <v>165.17328519855596</v>
      </c>
      <c r="F197" s="95">
        <f>Inputs_Summary!H42</f>
        <v>160.79783393501805</v>
      </c>
      <c r="G197" s="95">
        <f>Inputs_Summary!I42</f>
        <v>907.42483754512637</v>
      </c>
      <c r="H197" s="95">
        <f>Inputs_Summary!J42</f>
        <v>0</v>
      </c>
      <c r="I197" s="95">
        <f>Inputs_Summary!K42</f>
        <v>0</v>
      </c>
      <c r="J197" s="95">
        <f>Inputs_Summary!L42</f>
        <v>0</v>
      </c>
      <c r="K197" s="95">
        <f>Inputs_Summary!M42</f>
        <v>422</v>
      </c>
      <c r="L197" s="95">
        <f>Inputs_Summary!N42</f>
        <v>1655.0144404332129</v>
      </c>
      <c r="M197" s="95">
        <f>Inputs_Summary!O42</f>
        <v>0</v>
      </c>
      <c r="N197" s="95">
        <f>Inputs_Summary!P42</f>
        <v>201.27075812274367</v>
      </c>
      <c r="O197" s="95">
        <f>Inputs_Summary!Q42</f>
        <v>618</v>
      </c>
      <c r="P197" s="101"/>
      <c r="Q197" s="5"/>
      <c r="R197" s="5"/>
      <c r="S197" s="5"/>
      <c r="T197" s="5"/>
    </row>
    <row r="198" spans="1:41" ht="15" x14ac:dyDescent="0.25">
      <c r="B198" s="3">
        <v>2040</v>
      </c>
      <c r="C198" s="95">
        <f>Inputs_Summary!E43</f>
        <v>924</v>
      </c>
      <c r="D198" s="95">
        <f>Inputs_Summary!F43</f>
        <v>968.06859205776175</v>
      </c>
      <c r="E198" s="95">
        <f>Inputs_Summary!G43</f>
        <v>165.17328519855596</v>
      </c>
      <c r="F198" s="95">
        <f>Inputs_Summary!H43</f>
        <v>160.79783393501805</v>
      </c>
      <c r="G198" s="95">
        <f>Inputs_Summary!I43</f>
        <v>907.42483754512637</v>
      </c>
      <c r="H198" s="95">
        <f>Inputs_Summary!J43</f>
        <v>0</v>
      </c>
      <c r="I198" s="95">
        <f>Inputs_Summary!K43</f>
        <v>0</v>
      </c>
      <c r="J198" s="95">
        <f>Inputs_Summary!L43</f>
        <v>0</v>
      </c>
      <c r="K198" s="95">
        <f>Inputs_Summary!M43</f>
        <v>422</v>
      </c>
      <c r="L198" s="95">
        <f>Inputs_Summary!N43</f>
        <v>1655.0144404332129</v>
      </c>
      <c r="M198" s="95">
        <f>Inputs_Summary!O43</f>
        <v>0</v>
      </c>
      <c r="N198" s="95">
        <f>Inputs_Summary!P43</f>
        <v>201.27075812274367</v>
      </c>
      <c r="O198" s="95">
        <f>Inputs_Summary!Q43</f>
        <v>618</v>
      </c>
      <c r="P198" s="101"/>
      <c r="Q198" s="5"/>
      <c r="R198" s="5"/>
      <c r="S198" s="5"/>
      <c r="T198" s="5"/>
    </row>
    <row r="199" spans="1:41" x14ac:dyDescent="0.3">
      <c r="B199" s="3">
        <v>2050</v>
      </c>
      <c r="C199" s="95">
        <f>Inputs_Summary!E44</f>
        <v>924</v>
      </c>
      <c r="D199" s="95">
        <f>Inputs_Summary!F44</f>
        <v>968.06859205776175</v>
      </c>
      <c r="E199" s="95">
        <f>Inputs_Summary!G44</f>
        <v>165.17328519855596</v>
      </c>
      <c r="F199" s="95">
        <f>Inputs_Summary!H44</f>
        <v>160.79783393501805</v>
      </c>
      <c r="G199" s="95">
        <f>Inputs_Summary!I44</f>
        <v>907.42483754512637</v>
      </c>
      <c r="H199" s="95">
        <f>Inputs_Summary!J44</f>
        <v>0</v>
      </c>
      <c r="I199" s="95">
        <f>Inputs_Summary!K44</f>
        <v>0</v>
      </c>
      <c r="J199" s="95">
        <f>Inputs_Summary!L44</f>
        <v>0</v>
      </c>
      <c r="K199" s="95">
        <f>Inputs_Summary!M44</f>
        <v>422</v>
      </c>
      <c r="L199" s="95">
        <f>Inputs_Summary!N44</f>
        <v>1655.0144404332129</v>
      </c>
      <c r="M199" s="95">
        <f>Inputs_Summary!O44</f>
        <v>0</v>
      </c>
      <c r="N199" s="95">
        <f>Inputs_Summary!P44</f>
        <v>201.27075812274367</v>
      </c>
      <c r="O199" s="95">
        <f>Inputs_Summary!Q44</f>
        <v>618</v>
      </c>
      <c r="P199" s="101"/>
      <c r="Q199" s="5"/>
      <c r="R199" s="5"/>
      <c r="S199" s="5"/>
      <c r="T199" s="5"/>
    </row>
    <row r="200" spans="1:41" s="32" customFormat="1" x14ac:dyDescent="0.3">
      <c r="B200" s="33" t="s">
        <v>20</v>
      </c>
      <c r="C200" s="94">
        <f>Inputs_Summary!E45</f>
        <v>0.36168632057761729</v>
      </c>
      <c r="D200" s="94">
        <f>Inputs_Summary!F45</f>
        <v>0.12287246155234656</v>
      </c>
      <c r="E200" s="94">
        <f>Inputs_Summary!G45</f>
        <v>1.1311272563176895</v>
      </c>
      <c r="F200" s="94">
        <f>Inputs_Summary!H45</f>
        <v>1.7302564981949458</v>
      </c>
      <c r="G200" s="94">
        <f>Inputs_Summary!I45</f>
        <v>0</v>
      </c>
      <c r="H200" s="94">
        <f>Inputs_Summary!J45</f>
        <v>0</v>
      </c>
      <c r="I200" s="94">
        <f>Inputs_Summary!K45</f>
        <v>0</v>
      </c>
      <c r="J200" s="94">
        <f>Inputs_Summary!L45</f>
        <v>0</v>
      </c>
      <c r="K200" s="94">
        <f>Inputs_Summary!M45</f>
        <v>1.42</v>
      </c>
      <c r="L200" s="94">
        <f>Inputs_Summary!N45</f>
        <v>0.46</v>
      </c>
      <c r="M200" s="94">
        <f>Inputs_Summary!O45</f>
        <v>1.51</v>
      </c>
      <c r="N200" s="94">
        <f>Inputs_Summary!P45</f>
        <v>0</v>
      </c>
      <c r="O200" s="94">
        <f>Inputs_Summary!Q45</f>
        <v>3.2000000000000001E-2</v>
      </c>
      <c r="P200" s="100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</row>
    <row r="201" spans="1:41" x14ac:dyDescent="0.3">
      <c r="B201" s="3">
        <v>2030</v>
      </c>
      <c r="C201" s="94">
        <f>Inputs_Summary!E46</f>
        <v>0.36168632057761729</v>
      </c>
      <c r="D201" s="94">
        <f>Inputs_Summary!F46</f>
        <v>0.12287246155234656</v>
      </c>
      <c r="E201" s="94">
        <f>Inputs_Summary!G46</f>
        <v>1.1311272563176895</v>
      </c>
      <c r="F201" s="94">
        <f>Inputs_Summary!H46</f>
        <v>1.7302564981949458</v>
      </c>
      <c r="G201" s="94">
        <f>Inputs_Summary!I46</f>
        <v>0</v>
      </c>
      <c r="H201" s="94">
        <f>Inputs_Summary!J46</f>
        <v>0</v>
      </c>
      <c r="I201" s="94">
        <f>Inputs_Summary!K46</f>
        <v>0</v>
      </c>
      <c r="J201" s="94">
        <f>Inputs_Summary!L46</f>
        <v>0</v>
      </c>
      <c r="K201" s="94">
        <f>Inputs_Summary!M46</f>
        <v>1.42</v>
      </c>
      <c r="L201" s="94">
        <f>Inputs_Summary!N46</f>
        <v>0.46</v>
      </c>
      <c r="M201" s="94">
        <f>Inputs_Summary!O46</f>
        <v>1.51</v>
      </c>
      <c r="N201" s="94">
        <f>Inputs_Summary!P46</f>
        <v>0</v>
      </c>
      <c r="O201" s="94">
        <f>Inputs_Summary!Q46</f>
        <v>3.2000000000000001E-2</v>
      </c>
      <c r="P201" s="100"/>
      <c r="Q201" s="5"/>
      <c r="R201" s="5"/>
      <c r="S201" s="5"/>
      <c r="T201" s="5"/>
    </row>
    <row r="202" spans="1:41" x14ac:dyDescent="0.3">
      <c r="B202" s="3">
        <v>2040</v>
      </c>
      <c r="C202" s="94">
        <f>Inputs_Summary!E47</f>
        <v>0.36168632057761729</v>
      </c>
      <c r="D202" s="94">
        <f>Inputs_Summary!F47</f>
        <v>0.12287246155234656</v>
      </c>
      <c r="E202" s="94">
        <f>Inputs_Summary!G47</f>
        <v>1.1311272563176895</v>
      </c>
      <c r="F202" s="94">
        <f>Inputs_Summary!H47</f>
        <v>1.7302564981949458</v>
      </c>
      <c r="G202" s="94">
        <f>Inputs_Summary!I47</f>
        <v>0</v>
      </c>
      <c r="H202" s="94">
        <f>Inputs_Summary!J47</f>
        <v>0</v>
      </c>
      <c r="I202" s="94">
        <f>Inputs_Summary!K47</f>
        <v>0</v>
      </c>
      <c r="J202" s="94">
        <f>Inputs_Summary!L47</f>
        <v>0</v>
      </c>
      <c r="K202" s="94">
        <f>Inputs_Summary!M47</f>
        <v>1.42</v>
      </c>
      <c r="L202" s="94">
        <f>Inputs_Summary!N47</f>
        <v>0.46</v>
      </c>
      <c r="M202" s="94">
        <f>Inputs_Summary!O47</f>
        <v>1.51</v>
      </c>
      <c r="N202" s="94">
        <f>Inputs_Summary!P47</f>
        <v>0</v>
      </c>
      <c r="O202" s="94">
        <f>Inputs_Summary!Q47</f>
        <v>3.2000000000000001E-2</v>
      </c>
      <c r="P202" s="100"/>
      <c r="Q202" s="5"/>
      <c r="R202" s="5"/>
      <c r="S202" s="5"/>
      <c r="T202" s="5"/>
    </row>
    <row r="203" spans="1:41" x14ac:dyDescent="0.3">
      <c r="B203" s="3">
        <v>2050</v>
      </c>
      <c r="C203" s="94">
        <f>Inputs_Summary!E48</f>
        <v>0.36168632057761729</v>
      </c>
      <c r="D203" s="94">
        <f>Inputs_Summary!F48</f>
        <v>0.12287246155234656</v>
      </c>
      <c r="E203" s="94">
        <f>Inputs_Summary!G48</f>
        <v>1.1311272563176895</v>
      </c>
      <c r="F203" s="94">
        <f>Inputs_Summary!H48</f>
        <v>1.7302564981949458</v>
      </c>
      <c r="G203" s="94">
        <f>Inputs_Summary!I48</f>
        <v>0</v>
      </c>
      <c r="H203" s="94">
        <f>Inputs_Summary!J48</f>
        <v>0</v>
      </c>
      <c r="I203" s="94">
        <f>Inputs_Summary!K48</f>
        <v>0</v>
      </c>
      <c r="J203" s="94">
        <f>Inputs_Summary!L48</f>
        <v>0</v>
      </c>
      <c r="K203" s="94">
        <f>Inputs_Summary!M48</f>
        <v>1.42</v>
      </c>
      <c r="L203" s="94">
        <f>Inputs_Summary!N48</f>
        <v>0.46</v>
      </c>
      <c r="M203" s="94">
        <f>Inputs_Summary!O48</f>
        <v>1.51</v>
      </c>
      <c r="N203" s="94">
        <f>Inputs_Summary!P48</f>
        <v>0</v>
      </c>
      <c r="O203" s="94">
        <f>Inputs_Summary!Q48</f>
        <v>3.2000000000000001E-2</v>
      </c>
      <c r="P203" s="100"/>
      <c r="Q203" s="5"/>
      <c r="R203" s="5"/>
      <c r="S203" s="5"/>
      <c r="T203" s="5"/>
    </row>
    <row r="204" spans="1:41" s="58" customFormat="1" x14ac:dyDescent="0.3">
      <c r="B204" s="67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</row>
    <row r="205" spans="1:41" ht="28.8" x14ac:dyDescent="0.3">
      <c r="B205" s="43" t="s">
        <v>22</v>
      </c>
      <c r="C205" s="43" t="s">
        <v>0</v>
      </c>
      <c r="D205" s="43" t="s">
        <v>1</v>
      </c>
      <c r="E205" s="43" t="s">
        <v>28</v>
      </c>
      <c r="F205" s="2" t="s">
        <v>29</v>
      </c>
      <c r="G205" s="2" t="s">
        <v>6</v>
      </c>
      <c r="H205" s="43" t="s">
        <v>2</v>
      </c>
      <c r="I205" s="43" t="s">
        <v>3</v>
      </c>
      <c r="J205" s="43" t="s">
        <v>4</v>
      </c>
      <c r="K205" s="43" t="s">
        <v>9</v>
      </c>
      <c r="L205" s="43" t="s">
        <v>8</v>
      </c>
      <c r="M205" s="43" t="s">
        <v>25</v>
      </c>
      <c r="N205" s="43" t="s">
        <v>7</v>
      </c>
      <c r="O205" s="43" t="s">
        <v>89</v>
      </c>
      <c r="P205" s="25"/>
      <c r="Q205" s="43" t="s">
        <v>5</v>
      </c>
      <c r="R205" s="43" t="s">
        <v>91</v>
      </c>
      <c r="T205" s="43" t="s">
        <v>10</v>
      </c>
    </row>
    <row r="206" spans="1:41" x14ac:dyDescent="0.3">
      <c r="A206" s="15">
        <f>C176+C186</f>
        <v>99.425576517077502</v>
      </c>
      <c r="B206" s="3">
        <v>2016</v>
      </c>
      <c r="C206" s="19">
        <f>((C196+C192)*C16+C200*C46*1000)/1000000</f>
        <v>0</v>
      </c>
      <c r="D206" s="19">
        <f>LOOKUP(B206,NuclearPhasing!$D$118:$D$152,NuclearPhasing!$AL$118:$AL$152)+((D196)*D16+D200*D46*1000)/1000000</f>
        <v>0</v>
      </c>
      <c r="E206" s="19">
        <f t="shared" ref="E206:O206" si="84">((E196+E192)*E16+E200*E46*1000)/1000000</f>
        <v>0</v>
      </c>
      <c r="F206" s="19">
        <f t="shared" si="84"/>
        <v>0</v>
      </c>
      <c r="G206" s="19">
        <f t="shared" si="84"/>
        <v>0</v>
      </c>
      <c r="H206" s="19">
        <f t="shared" si="84"/>
        <v>0</v>
      </c>
      <c r="I206" s="19">
        <f t="shared" si="84"/>
        <v>0</v>
      </c>
      <c r="J206" s="19">
        <f t="shared" si="84"/>
        <v>0</v>
      </c>
      <c r="K206" s="19">
        <f t="shared" si="84"/>
        <v>0</v>
      </c>
      <c r="L206" s="19">
        <f t="shared" si="84"/>
        <v>0</v>
      </c>
      <c r="M206" s="19">
        <f t="shared" si="84"/>
        <v>0</v>
      </c>
      <c r="N206" s="19">
        <f t="shared" si="84"/>
        <v>0</v>
      </c>
      <c r="O206" s="19">
        <f t="shared" si="84"/>
        <v>0</v>
      </c>
      <c r="P206" s="62"/>
      <c r="Q206" s="39">
        <f>G206+N206</f>
        <v>0</v>
      </c>
      <c r="R206" s="5">
        <f>SUM(K206:L206)</f>
        <v>0</v>
      </c>
      <c r="T206" s="5">
        <f>SUM(C206:O206)</f>
        <v>0</v>
      </c>
    </row>
    <row r="207" spans="1:41" x14ac:dyDescent="0.3">
      <c r="A207" s="15">
        <f t="shared" ref="A207:A209" si="85">C177+C187</f>
        <v>130.41287738251683</v>
      </c>
      <c r="B207" s="3">
        <v>2030</v>
      </c>
      <c r="C207" s="19">
        <f>((C197+C193)*C17+C201*C47*1000)/1000000</f>
        <v>0</v>
      </c>
      <c r="D207" s="19">
        <f>LOOKUP(B207,NuclearPhasing!$D$118:$D$152,NuclearPhasing!$AL$118:$AL$152)+((D197)*D17+D201*D47*1000)/1000000</f>
        <v>49.197620730677862</v>
      </c>
      <c r="E207" s="19">
        <f t="shared" ref="E207:O207" si="86">((E197+E193)*E17+E201*E47*1000)/1000000</f>
        <v>11.006038749027796</v>
      </c>
      <c r="F207" s="19">
        <f t="shared" si="86"/>
        <v>7.3283761295934005</v>
      </c>
      <c r="G207" s="19">
        <f t="shared" si="86"/>
        <v>16.178562093862816</v>
      </c>
      <c r="H207" s="19">
        <f t="shared" si="86"/>
        <v>29.6205</v>
      </c>
      <c r="I207" s="19">
        <f t="shared" si="86"/>
        <v>0</v>
      </c>
      <c r="J207" s="19">
        <f t="shared" si="86"/>
        <v>9.55396</v>
      </c>
      <c r="K207" s="19">
        <f t="shared" si="86"/>
        <v>3.9401974900323287E-2</v>
      </c>
      <c r="L207" s="19">
        <f t="shared" si="86"/>
        <v>6.6550158844765353E-2</v>
      </c>
      <c r="M207" s="19">
        <f t="shared" si="86"/>
        <v>0.18327877901465889</v>
      </c>
      <c r="N207" s="19">
        <f t="shared" si="86"/>
        <v>0</v>
      </c>
      <c r="O207" s="19">
        <f t="shared" si="86"/>
        <v>0</v>
      </c>
      <c r="P207" s="62"/>
      <c r="Q207" s="39">
        <f>G207+N207</f>
        <v>16.178562093862816</v>
      </c>
      <c r="R207" s="5">
        <f>SUM(K207:L207)</f>
        <v>0.10595213374508863</v>
      </c>
      <c r="T207" s="5">
        <f t="shared" ref="T207:T209" si="87">SUM(C207:O207)</f>
        <v>123.17428861592163</v>
      </c>
    </row>
    <row r="208" spans="1:41" x14ac:dyDescent="0.3">
      <c r="A208" s="15">
        <f t="shared" si="85"/>
        <v>93.916191330934325</v>
      </c>
      <c r="B208" s="3">
        <v>2040</v>
      </c>
      <c r="C208" s="19">
        <f>((C198+C194)*C18+C202*C48*1000)/1000000</f>
        <v>0</v>
      </c>
      <c r="D208" s="19">
        <f>LOOKUP(B208,NuclearPhasing!$D$118:$D$152,NuclearPhasing!$AL$118:$AL$152)+((D198)*D18+D202*D48*1000)/1000000</f>
        <v>107.89358705477854</v>
      </c>
      <c r="E208" s="19">
        <f t="shared" ref="E208:O208" si="88">((E198+E194)*E18+E202*E48*1000)/1000000</f>
        <v>58.860946999703394</v>
      </c>
      <c r="F208" s="19">
        <f t="shared" si="88"/>
        <v>8.531231531589345</v>
      </c>
      <c r="G208" s="19">
        <f t="shared" si="88"/>
        <v>16.178562093862816</v>
      </c>
      <c r="H208" s="19">
        <f t="shared" si="88"/>
        <v>64.018500000000003</v>
      </c>
      <c r="I208" s="19">
        <f t="shared" si="88"/>
        <v>0</v>
      </c>
      <c r="J208" s="19">
        <f t="shared" si="88"/>
        <v>18.110679999999999</v>
      </c>
      <c r="K208" s="19">
        <f t="shared" si="88"/>
        <v>3.9401974900323287E-2</v>
      </c>
      <c r="L208" s="19">
        <f t="shared" si="88"/>
        <v>6.6550158844765353E-2</v>
      </c>
      <c r="M208" s="19">
        <f t="shared" si="88"/>
        <v>0.18196567932151336</v>
      </c>
      <c r="N208" s="19">
        <f t="shared" si="88"/>
        <v>0</v>
      </c>
      <c r="O208" s="19">
        <f t="shared" si="88"/>
        <v>0</v>
      </c>
      <c r="P208" s="62"/>
      <c r="Q208" s="39">
        <f>G208+N208</f>
        <v>16.178562093862816</v>
      </c>
      <c r="R208" s="5">
        <f>SUM(K208:L208)</f>
        <v>0.10595213374508863</v>
      </c>
      <c r="T208" s="5">
        <f t="shared" si="87"/>
        <v>273.88142549300073</v>
      </c>
    </row>
    <row r="209" spans="1:41" x14ac:dyDescent="0.3">
      <c r="A209" s="15">
        <f t="shared" si="85"/>
        <v>78.58854977163017</v>
      </c>
      <c r="B209" s="3">
        <v>2050</v>
      </c>
      <c r="C209" s="19">
        <f>((C199+C195)*C19+C203*C49*1000)/1000000</f>
        <v>0</v>
      </c>
      <c r="D209" s="19">
        <f>LOOKUP(B209,NuclearPhasing!$D$118:$D$152,NuclearPhasing!$AL$118:$AL$152)+((D199)*D19+D203*D49*1000)/1000000</f>
        <v>196.47435741250391</v>
      </c>
      <c r="E209" s="19">
        <f t="shared" ref="E209:O209" si="89">((E199+E195)*E19+E203*E49*1000)/1000000</f>
        <v>126.35781668303061</v>
      </c>
      <c r="F209" s="19">
        <f t="shared" si="89"/>
        <v>11.175976817775263</v>
      </c>
      <c r="G209" s="19">
        <f t="shared" si="89"/>
        <v>16.178562093862816</v>
      </c>
      <c r="H209" s="19">
        <f t="shared" si="89"/>
        <v>68.796000000000006</v>
      </c>
      <c r="I209" s="19">
        <f t="shared" si="89"/>
        <v>0</v>
      </c>
      <c r="J209" s="19">
        <f t="shared" si="89"/>
        <v>21.290220000000001</v>
      </c>
      <c r="K209" s="19">
        <f t="shared" si="89"/>
        <v>0</v>
      </c>
      <c r="L209" s="19">
        <f t="shared" si="89"/>
        <v>0</v>
      </c>
      <c r="M209" s="19">
        <f t="shared" si="89"/>
        <v>0.17978838512189182</v>
      </c>
      <c r="N209" s="19">
        <f t="shared" si="89"/>
        <v>0</v>
      </c>
      <c r="O209" s="19">
        <f t="shared" si="89"/>
        <v>0</v>
      </c>
      <c r="P209" s="62"/>
      <c r="Q209" s="39">
        <f>G209+N209</f>
        <v>16.178562093862816</v>
      </c>
      <c r="R209" s="5">
        <f>SUM(K209:L209)</f>
        <v>0</v>
      </c>
      <c r="T209" s="5">
        <f t="shared" si="87"/>
        <v>440.45272139229445</v>
      </c>
    </row>
    <row r="210" spans="1:41" x14ac:dyDescent="0.3"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69"/>
    </row>
    <row r="211" spans="1:41" ht="72" x14ac:dyDescent="0.3">
      <c r="B211" s="43" t="s">
        <v>23</v>
      </c>
      <c r="C211" s="43" t="s">
        <v>0</v>
      </c>
      <c r="D211" s="43" t="s">
        <v>1</v>
      </c>
      <c r="E211" s="43" t="s">
        <v>28</v>
      </c>
      <c r="F211" s="2" t="s">
        <v>29</v>
      </c>
      <c r="G211" s="2" t="s">
        <v>6</v>
      </c>
      <c r="H211" s="43" t="s">
        <v>2</v>
      </c>
      <c r="I211" s="43" t="s">
        <v>3</v>
      </c>
      <c r="J211" s="43" t="s">
        <v>4</v>
      </c>
      <c r="K211" s="43" t="s">
        <v>9</v>
      </c>
      <c r="L211" s="43" t="s">
        <v>8</v>
      </c>
      <c r="M211" s="43" t="s">
        <v>25</v>
      </c>
      <c r="N211" s="43" t="s">
        <v>7</v>
      </c>
      <c r="O211" s="43" t="s">
        <v>89</v>
      </c>
      <c r="P211" s="25"/>
      <c r="Q211" s="43" t="s">
        <v>5</v>
      </c>
      <c r="R211" s="43" t="s">
        <v>91</v>
      </c>
      <c r="T211" s="43" t="s">
        <v>10</v>
      </c>
      <c r="U211" s="41" t="s">
        <v>86</v>
      </c>
      <c r="V211" s="43" t="s">
        <v>92</v>
      </c>
      <c r="W211" s="43" t="s">
        <v>93</v>
      </c>
      <c r="X211" s="25" t="s">
        <v>26</v>
      </c>
      <c r="Y211" s="25" t="s">
        <v>27</v>
      </c>
    </row>
    <row r="212" spans="1:41" x14ac:dyDescent="0.3">
      <c r="B212" s="3">
        <v>2016</v>
      </c>
      <c r="C212" s="19">
        <f>C176+C186+C206</f>
        <v>99.425576517077502</v>
      </c>
      <c r="D212" s="19">
        <f t="shared" ref="D212:O215" si="90">D176+D186+D206</f>
        <v>3.0206166863931165</v>
      </c>
      <c r="E212" s="19">
        <f t="shared" si="90"/>
        <v>0.71827291818882821</v>
      </c>
      <c r="F212" s="19">
        <f t="shared" si="90"/>
        <v>5.6112431781664789</v>
      </c>
      <c r="G212" s="19">
        <f t="shared" si="90"/>
        <v>4.7397372806457199</v>
      </c>
      <c r="H212" s="19">
        <f t="shared" si="90"/>
        <v>3.7406611452973988</v>
      </c>
      <c r="I212" s="19">
        <f t="shared" si="90"/>
        <v>2.7313107545794142</v>
      </c>
      <c r="J212" s="19">
        <f t="shared" si="90"/>
        <v>4.4864465988215327</v>
      </c>
      <c r="K212" s="19">
        <f t="shared" si="90"/>
        <v>0</v>
      </c>
      <c r="L212" s="19">
        <f t="shared" si="90"/>
        <v>2.6131623050841757</v>
      </c>
      <c r="M212" s="19">
        <f t="shared" si="90"/>
        <v>0</v>
      </c>
      <c r="N212" s="19">
        <f t="shared" si="90"/>
        <v>0.46729964879989472</v>
      </c>
      <c r="O212" s="19">
        <f t="shared" si="90"/>
        <v>0</v>
      </c>
      <c r="P212" s="62"/>
      <c r="Q212" s="5">
        <f>G212+N212</f>
        <v>5.2070369294456142</v>
      </c>
      <c r="R212" s="5">
        <f>SUM(K212:L212)</f>
        <v>2.6131623050841757</v>
      </c>
      <c r="S212" s="5"/>
      <c r="T212" s="46">
        <f>SUM(C212:O212)</f>
        <v>127.55432703305404</v>
      </c>
      <c r="U212" s="39">
        <f>T212+T128*Inputs_Summary!G64/1000</f>
        <v>152.9417183439752</v>
      </c>
      <c r="V212" s="39">
        <f>T212+Inputs_Summary!$G$62*Inputs_Summary!G72/1000</f>
        <v>200.18042703305403</v>
      </c>
      <c r="W212" s="39">
        <f>V212+(U212-T212)</f>
        <v>225.5678183439752</v>
      </c>
      <c r="X212" s="75">
        <f>T212-'HC-BC'!T212</f>
        <v>-2.44606645697543</v>
      </c>
      <c r="Y212" s="76">
        <f>T212-'HC-CB'!T212</f>
        <v>0</v>
      </c>
    </row>
    <row r="213" spans="1:41" x14ac:dyDescent="0.3">
      <c r="B213" s="3">
        <v>2030</v>
      </c>
      <c r="C213" s="19">
        <f>C177+C187+C207</f>
        <v>130.41287738251683</v>
      </c>
      <c r="D213" s="19">
        <f t="shared" ref="D213:N213" si="91">D177+D187+D207</f>
        <v>52.178486468460697</v>
      </c>
      <c r="E213" s="19">
        <f t="shared" si="91"/>
        <v>13.108711145592544</v>
      </c>
      <c r="F213" s="19">
        <f t="shared" si="91"/>
        <v>8.0507169123902269</v>
      </c>
      <c r="G213" s="19">
        <f t="shared" si="91"/>
        <v>19.837711850193656</v>
      </c>
      <c r="H213" s="19">
        <f t="shared" si="91"/>
        <v>39.844410564339483</v>
      </c>
      <c r="I213" s="19">
        <f t="shared" si="91"/>
        <v>12.426981773934401</v>
      </c>
      <c r="J213" s="19">
        <f t="shared" si="91"/>
        <v>15.896217256849294</v>
      </c>
      <c r="K213" s="19">
        <f t="shared" si="91"/>
        <v>0.34586290477130371</v>
      </c>
      <c r="L213" s="19">
        <f t="shared" si="91"/>
        <v>4.276811217291475</v>
      </c>
      <c r="M213" s="19">
        <f t="shared" si="91"/>
        <v>0.18327877901465889</v>
      </c>
      <c r="N213" s="19">
        <f t="shared" si="91"/>
        <v>3.8022637462284044</v>
      </c>
      <c r="O213" s="19">
        <f t="shared" si="90"/>
        <v>0</v>
      </c>
      <c r="P213" s="62"/>
      <c r="Q213" s="5">
        <f>G213+N213</f>
        <v>23.639975596422062</v>
      </c>
      <c r="R213" s="5">
        <f>SUM(K213:L213)</f>
        <v>4.6226741220627785</v>
      </c>
      <c r="S213" s="5"/>
      <c r="T213" s="46">
        <f t="shared" ref="T213:T215" si="92">SUM(C213:O213)</f>
        <v>300.36433000158291</v>
      </c>
      <c r="U213" s="39">
        <f>T213+T129*Inputs_Summary!G65/1000</f>
        <v>321.4724737781325</v>
      </c>
      <c r="V213" s="39">
        <f>T213+Inputs_Summary!$G$62*Inputs_Summary!G73/1000</f>
        <v>403.42273000158292</v>
      </c>
      <c r="W213" s="39">
        <f t="shared" ref="W213:W215" si="93">V213+(U213-T213)</f>
        <v>424.5308737781325</v>
      </c>
      <c r="X213" s="75">
        <f>T213-'HC-BC'!T213</f>
        <v>19.141097846454727</v>
      </c>
      <c r="Y213" s="76">
        <f>T213-'HC-CB'!T213</f>
        <v>0</v>
      </c>
    </row>
    <row r="214" spans="1:41" x14ac:dyDescent="0.3">
      <c r="B214" s="3">
        <v>2040</v>
      </c>
      <c r="C214" s="19">
        <f>C178+C188+C208</f>
        <v>93.916191330934325</v>
      </c>
      <c r="D214" s="19">
        <f t="shared" ref="D214:N214" si="94">D178+D188+D208</f>
        <v>110.8124254513791</v>
      </c>
      <c r="E214" s="19">
        <f t="shared" si="94"/>
        <v>60.972180696842379</v>
      </c>
      <c r="F214" s="19">
        <f t="shared" si="94"/>
        <v>8.9114556003113599</v>
      </c>
      <c r="G214" s="19">
        <f t="shared" si="94"/>
        <v>20.008919559068605</v>
      </c>
      <c r="H214" s="19">
        <f t="shared" si="94"/>
        <v>64.018500000000003</v>
      </c>
      <c r="I214" s="19">
        <f t="shared" si="94"/>
        <v>12.389761612840424</v>
      </c>
      <c r="J214" s="19">
        <f t="shared" si="94"/>
        <v>21.323798712055925</v>
      </c>
      <c r="K214" s="19">
        <f t="shared" si="94"/>
        <v>0.3460052223177873</v>
      </c>
      <c r="L214" s="19">
        <f t="shared" si="94"/>
        <v>4.3746478703177933</v>
      </c>
      <c r="M214" s="19">
        <f t="shared" si="94"/>
        <v>0.18196567932151336</v>
      </c>
      <c r="N214" s="19">
        <f t="shared" si="94"/>
        <v>3.8057047953963008</v>
      </c>
      <c r="O214" s="19">
        <f t="shared" si="90"/>
        <v>0</v>
      </c>
      <c r="P214" s="62"/>
      <c r="Q214" s="5">
        <f>G214+N214</f>
        <v>23.814624354464907</v>
      </c>
      <c r="R214" s="5">
        <f>SUM(K214:L214)</f>
        <v>4.7206530926355805</v>
      </c>
      <c r="S214" s="5"/>
      <c r="T214" s="46">
        <f t="shared" si="92"/>
        <v>401.06155653078554</v>
      </c>
      <c r="U214" s="39">
        <f>T214+T130*Inputs_Summary!G66/1000</f>
        <v>414.59748165850698</v>
      </c>
      <c r="V214" s="39">
        <f>T214+Inputs_Summary!$G$62*Inputs_Summary!G74/1000</f>
        <v>529.59085653078546</v>
      </c>
      <c r="W214" s="39">
        <f t="shared" si="93"/>
        <v>543.12678165850684</v>
      </c>
      <c r="X214" s="75">
        <f>T214-'HC-BC'!T214</f>
        <v>-5.7503254882075794</v>
      </c>
      <c r="Y214" s="76">
        <f>T214-'HC-CB'!T214</f>
        <v>0</v>
      </c>
    </row>
    <row r="215" spans="1:41" x14ac:dyDescent="0.3">
      <c r="B215" s="3">
        <v>2050</v>
      </c>
      <c r="C215" s="19">
        <f>C179+C189+C209</f>
        <v>78.58854977163017</v>
      </c>
      <c r="D215" s="19">
        <f t="shared" ref="D215:N215" si="95">D179+D189+D209</f>
        <v>196.47435741250391</v>
      </c>
      <c r="E215" s="19">
        <f t="shared" si="95"/>
        <v>128.53787933106011</v>
      </c>
      <c r="F215" s="19">
        <f t="shared" si="95"/>
        <v>11.175976817775263</v>
      </c>
      <c r="G215" s="19">
        <f t="shared" si="95"/>
        <v>20.184707699647312</v>
      </c>
      <c r="H215" s="19">
        <f t="shared" si="95"/>
        <v>68.796000000000006</v>
      </c>
      <c r="I215" s="19">
        <f t="shared" si="95"/>
        <v>0</v>
      </c>
      <c r="J215" s="19">
        <f t="shared" si="95"/>
        <v>21.290220000000001</v>
      </c>
      <c r="K215" s="19">
        <f t="shared" si="95"/>
        <v>0</v>
      </c>
      <c r="L215" s="19">
        <f t="shared" si="95"/>
        <v>2.8326821724460403</v>
      </c>
      <c r="M215" s="19">
        <f t="shared" si="95"/>
        <v>0.17978838512189182</v>
      </c>
      <c r="N215" s="19">
        <f t="shared" si="95"/>
        <v>3.7746264144055579</v>
      </c>
      <c r="O215" s="19">
        <f t="shared" si="90"/>
        <v>0</v>
      </c>
      <c r="P215" s="62"/>
      <c r="Q215" s="5">
        <f>G215+N215</f>
        <v>23.959334114052869</v>
      </c>
      <c r="R215" s="5">
        <f>SUM(K215:L215)</f>
        <v>2.8326821724460403</v>
      </c>
      <c r="S215" s="5"/>
      <c r="T215" s="46">
        <f t="shared" si="92"/>
        <v>531.83478800459034</v>
      </c>
      <c r="U215" s="39">
        <f>T215+T131*Inputs_Summary!G67/1000</f>
        <v>543.66399379624909</v>
      </c>
      <c r="V215" s="39">
        <f>T215+Inputs_Summary!$G$62*Inputs_Summary!G75/1000</f>
        <v>688.30248800459026</v>
      </c>
      <c r="W215" s="39">
        <f t="shared" si="93"/>
        <v>700.13169379624901</v>
      </c>
      <c r="X215" s="75">
        <f>T215-'HC-BC'!T215</f>
        <v>-11.344194553314651</v>
      </c>
      <c r="Y215" s="76">
        <f>T215-'HC-CB'!T215</f>
        <v>0</v>
      </c>
    </row>
    <row r="216" spans="1:41" x14ac:dyDescent="0.3">
      <c r="U216" s="11"/>
    </row>
    <row r="217" spans="1:41" x14ac:dyDescent="0.3">
      <c r="B217" s="3">
        <v>2016</v>
      </c>
      <c r="C217" s="21">
        <f t="shared" ref="C217:O220" si="96">IFERROR(C212/$T212,0)</f>
        <v>0.77947631279739071</v>
      </c>
      <c r="D217" s="21">
        <f t="shared" si="96"/>
        <v>2.3681020915976948E-2</v>
      </c>
      <c r="E217" s="21">
        <f t="shared" si="96"/>
        <v>5.6311136979515968E-3</v>
      </c>
      <c r="F217" s="21">
        <f t="shared" si="96"/>
        <v>4.3991006096660276E-2</v>
      </c>
      <c r="G217" s="21">
        <f t="shared" si="96"/>
        <v>3.7158576983574054E-2</v>
      </c>
      <c r="H217" s="21">
        <f t="shared" si="96"/>
        <v>2.9326023133092578E-2</v>
      </c>
      <c r="I217" s="21">
        <f t="shared" si="96"/>
        <v>2.1412921208636308E-2</v>
      </c>
      <c r="J217" s="21">
        <f t="shared" si="96"/>
        <v>3.5172829516468919E-2</v>
      </c>
      <c r="K217" s="21">
        <f t="shared" si="96"/>
        <v>0</v>
      </c>
      <c r="L217" s="21">
        <f t="shared" si="96"/>
        <v>2.0486661376897145E-2</v>
      </c>
      <c r="M217" s="21">
        <f t="shared" si="96"/>
        <v>0</v>
      </c>
      <c r="N217" s="21">
        <f t="shared" si="96"/>
        <v>3.6635342733516217E-3</v>
      </c>
      <c r="O217" s="21">
        <f t="shared" si="96"/>
        <v>0</v>
      </c>
      <c r="P217" s="29"/>
      <c r="Q217" s="7">
        <f t="shared" ref="Q217:R220" si="97">IFERROR(Q212/$T212,0)</f>
        <v>4.0822111256925676E-2</v>
      </c>
      <c r="R217" s="7">
        <f t="shared" si="97"/>
        <v>2.0486661376897145E-2</v>
      </c>
      <c r="T217" s="8">
        <f>SUM(C217:O217)</f>
        <v>1.0000000000000002</v>
      </c>
      <c r="U217" s="11"/>
    </row>
    <row r="218" spans="1:41" x14ac:dyDescent="0.3">
      <c r="B218" s="3">
        <v>2030</v>
      </c>
      <c r="C218" s="21">
        <f t="shared" si="96"/>
        <v>0.43418230580784861</v>
      </c>
      <c r="D218" s="21">
        <f t="shared" si="96"/>
        <v>0.17371732012315083</v>
      </c>
      <c r="E218" s="21">
        <f t="shared" si="96"/>
        <v>4.3642702665537755E-2</v>
      </c>
      <c r="F218" s="21">
        <f t="shared" si="96"/>
        <v>2.6803172375187825E-2</v>
      </c>
      <c r="G218" s="21">
        <f t="shared" si="96"/>
        <v>6.6045498312296641E-2</v>
      </c>
      <c r="H218" s="21">
        <f t="shared" si="96"/>
        <v>0.13265360292325493</v>
      </c>
      <c r="I218" s="21">
        <f t="shared" si="96"/>
        <v>4.1373027795507243E-2</v>
      </c>
      <c r="J218" s="21">
        <f t="shared" si="96"/>
        <v>5.2923119255756906E-2</v>
      </c>
      <c r="K218" s="21">
        <f t="shared" si="96"/>
        <v>1.1514779560192151E-3</v>
      </c>
      <c r="L218" s="21">
        <f t="shared" si="96"/>
        <v>1.4238745383877427E-2</v>
      </c>
      <c r="M218" s="21">
        <f t="shared" si="96"/>
        <v>6.1018823045230774E-4</v>
      </c>
      <c r="N218" s="21">
        <f t="shared" si="96"/>
        <v>1.265883917111052E-2</v>
      </c>
      <c r="O218" s="21">
        <f t="shared" si="96"/>
        <v>0</v>
      </c>
      <c r="P218" s="29"/>
      <c r="Q218" s="7">
        <f t="shared" si="97"/>
        <v>7.8704337483407161E-2</v>
      </c>
      <c r="R218" s="7">
        <f t="shared" si="97"/>
        <v>1.5390223339896642E-2</v>
      </c>
      <c r="T218" s="8">
        <f t="shared" ref="T218:T220" si="98">SUM(C218:O218)</f>
        <v>1</v>
      </c>
      <c r="U218" s="11"/>
    </row>
    <row r="219" spans="1:41" x14ac:dyDescent="0.3">
      <c r="B219" s="3">
        <v>2040</v>
      </c>
      <c r="C219" s="21">
        <f t="shared" si="96"/>
        <v>0.23416901919824196</v>
      </c>
      <c r="D219" s="21">
        <f t="shared" si="96"/>
        <v>0.2762977992952389</v>
      </c>
      <c r="E219" s="21">
        <f t="shared" si="96"/>
        <v>0.15202698863550176</v>
      </c>
      <c r="F219" s="21">
        <f t="shared" si="96"/>
        <v>2.2219670410188803E-2</v>
      </c>
      <c r="G219" s="21">
        <f t="shared" si="96"/>
        <v>4.9889896533956923E-2</v>
      </c>
      <c r="H219" s="21">
        <f t="shared" si="96"/>
        <v>0.15962262888960271</v>
      </c>
      <c r="I219" s="21">
        <f t="shared" si="96"/>
        <v>3.0892418909488236E-2</v>
      </c>
      <c r="J219" s="21">
        <f t="shared" si="96"/>
        <v>5.3168393641386341E-2</v>
      </c>
      <c r="K219" s="21">
        <f t="shared" si="96"/>
        <v>8.6272348142953439E-4</v>
      </c>
      <c r="L219" s="21">
        <f t="shared" si="96"/>
        <v>1.090767189994186E-2</v>
      </c>
      <c r="M219" s="21">
        <f t="shared" si="96"/>
        <v>4.537101010017789E-4</v>
      </c>
      <c r="N219" s="21">
        <f t="shared" si="96"/>
        <v>9.4890790040211056E-3</v>
      </c>
      <c r="O219" s="21">
        <f t="shared" si="96"/>
        <v>0</v>
      </c>
      <c r="P219" s="29"/>
      <c r="Q219" s="7">
        <f t="shared" si="97"/>
        <v>5.9378975537978031E-2</v>
      </c>
      <c r="R219" s="7">
        <f t="shared" si="97"/>
        <v>1.1770395381371394E-2</v>
      </c>
      <c r="T219" s="8">
        <f t="shared" si="98"/>
        <v>1.0000000000000002</v>
      </c>
      <c r="U219" s="11"/>
    </row>
    <row r="220" spans="1:41" x14ac:dyDescent="0.3">
      <c r="B220" s="3">
        <v>2050</v>
      </c>
      <c r="C220" s="21">
        <f t="shared" si="96"/>
        <v>0.14776872732693797</v>
      </c>
      <c r="D220" s="21">
        <f t="shared" si="96"/>
        <v>0.36942742717087568</v>
      </c>
      <c r="E220" s="21">
        <f t="shared" si="96"/>
        <v>0.24168761094648566</v>
      </c>
      <c r="F220" s="21">
        <f t="shared" si="96"/>
        <v>2.1014001095540975E-2</v>
      </c>
      <c r="G220" s="21">
        <f t="shared" si="96"/>
        <v>3.7952966137057391E-2</v>
      </c>
      <c r="H220" s="21">
        <f t="shared" si="96"/>
        <v>0.12935596082031064</v>
      </c>
      <c r="I220" s="21">
        <f t="shared" si="96"/>
        <v>0</v>
      </c>
      <c r="J220" s="21">
        <f t="shared" si="96"/>
        <v>4.0031642307340458E-2</v>
      </c>
      <c r="K220" s="21">
        <f t="shared" si="96"/>
        <v>0</v>
      </c>
      <c r="L220" s="21">
        <f t="shared" si="96"/>
        <v>5.3262446089209024E-3</v>
      </c>
      <c r="M220" s="21">
        <f t="shared" si="96"/>
        <v>3.3805307433243734E-4</v>
      </c>
      <c r="N220" s="21">
        <f t="shared" si="96"/>
        <v>7.0973665121977286E-3</v>
      </c>
      <c r="O220" s="21">
        <f t="shared" si="96"/>
        <v>0</v>
      </c>
      <c r="P220" s="29"/>
      <c r="Q220" s="7">
        <f t="shared" si="97"/>
        <v>4.5050332649255113E-2</v>
      </c>
      <c r="R220" s="7">
        <f t="shared" si="97"/>
        <v>5.3262446089209024E-3</v>
      </c>
      <c r="T220" s="8">
        <f t="shared" si="98"/>
        <v>0.99999999999999978</v>
      </c>
    </row>
    <row r="222" spans="1:41" s="9" customFormat="1" ht="21" x14ac:dyDescent="0.4">
      <c r="B222" s="10" t="s">
        <v>51</v>
      </c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</row>
    <row r="223" spans="1:41" s="32" customFormat="1" ht="21" x14ac:dyDescent="0.4">
      <c r="B223" s="31"/>
      <c r="C223" s="40"/>
      <c r="D223" s="40"/>
      <c r="E223" s="40"/>
      <c r="P223" s="58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  <c r="AO223" s="87"/>
    </row>
    <row r="224" spans="1:41" ht="28.8" x14ac:dyDescent="0.3">
      <c r="B224" s="43" t="s">
        <v>48</v>
      </c>
      <c r="C224" s="43" t="s">
        <v>0</v>
      </c>
      <c r="D224" s="43" t="s">
        <v>1</v>
      </c>
      <c r="E224" s="43" t="s">
        <v>28</v>
      </c>
      <c r="F224" s="2" t="s">
        <v>29</v>
      </c>
      <c r="G224" s="2" t="s">
        <v>6</v>
      </c>
      <c r="H224" s="43" t="s">
        <v>2</v>
      </c>
      <c r="I224" s="43" t="s">
        <v>3</v>
      </c>
      <c r="J224" s="43" t="s">
        <v>4</v>
      </c>
      <c r="K224" s="43" t="s">
        <v>9</v>
      </c>
      <c r="L224" s="43" t="s">
        <v>8</v>
      </c>
      <c r="M224" s="43" t="s">
        <v>25</v>
      </c>
      <c r="N224" s="43" t="s">
        <v>7</v>
      </c>
      <c r="O224" s="43" t="s">
        <v>89</v>
      </c>
      <c r="P224" s="25"/>
      <c r="Q224" s="43" t="s">
        <v>5</v>
      </c>
      <c r="R224" s="43" t="s">
        <v>91</v>
      </c>
      <c r="T224" s="42"/>
    </row>
    <row r="225" spans="2:41" x14ac:dyDescent="0.3">
      <c r="B225" s="3">
        <v>2016</v>
      </c>
      <c r="C225" s="48">
        <f t="shared" ref="C225:O225" si="99">IFERROR(C176/C34*1000,"")</f>
        <v>0.48989471926362094</v>
      </c>
      <c r="D225" s="48">
        <f t="shared" si="99"/>
        <v>0.20487259277908632</v>
      </c>
      <c r="E225" s="48">
        <f t="shared" si="99"/>
        <v>0.95000000000000007</v>
      </c>
      <c r="F225" s="48">
        <f t="shared" si="99"/>
        <v>2.7719237674542714</v>
      </c>
      <c r="G225" s="48">
        <f t="shared" si="99"/>
        <v>0.30000000000000004</v>
      </c>
      <c r="H225" s="48">
        <f t="shared" si="99"/>
        <v>0.93</v>
      </c>
      <c r="I225" s="48">
        <f t="shared" si="99"/>
        <v>3.2999999999999994</v>
      </c>
      <c r="J225" s="48">
        <f t="shared" si="99"/>
        <v>1.6999999999999997</v>
      </c>
      <c r="K225" s="48" t="str">
        <f t="shared" si="99"/>
        <v/>
      </c>
      <c r="L225" s="48">
        <f t="shared" si="99"/>
        <v>1.6499999999999997</v>
      </c>
      <c r="M225" s="48" t="str">
        <f t="shared" si="99"/>
        <v/>
      </c>
      <c r="N225" s="48">
        <f t="shared" si="99"/>
        <v>0.15605822366857675</v>
      </c>
      <c r="O225" s="48" t="str">
        <f t="shared" si="99"/>
        <v/>
      </c>
      <c r="P225" s="53"/>
      <c r="T225" s="42">
        <f>IFERROR(T176/Inputs_Summary!G72*1000,"")</f>
        <v>0.51041383896307546</v>
      </c>
    </row>
    <row r="226" spans="2:41" x14ac:dyDescent="0.3">
      <c r="B226" s="3">
        <v>2030</v>
      </c>
      <c r="C226" s="48">
        <f t="shared" ref="C226:O226" si="100">IFERROR(C177/C35*1000,"")</f>
        <v>0.53103842679712299</v>
      </c>
      <c r="D226" s="48">
        <f t="shared" si="100"/>
        <v>0.20671222595948138</v>
      </c>
      <c r="E226" s="48">
        <f t="shared" si="100"/>
        <v>0.95000000000000007</v>
      </c>
      <c r="F226" s="48">
        <f t="shared" si="100"/>
        <v>7.9572656044460865</v>
      </c>
      <c r="G226" s="48">
        <f t="shared" si="100"/>
        <v>0.3</v>
      </c>
      <c r="H226" s="48">
        <f t="shared" si="100"/>
        <v>0.93</v>
      </c>
      <c r="I226" s="48">
        <f t="shared" si="100"/>
        <v>3.3</v>
      </c>
      <c r="J226" s="48">
        <f t="shared" si="100"/>
        <v>1.7000000000000002</v>
      </c>
      <c r="K226" s="48" t="str">
        <f t="shared" si="100"/>
        <v/>
      </c>
      <c r="L226" s="48">
        <f t="shared" si="100"/>
        <v>1.65</v>
      </c>
      <c r="M226" s="48" t="str">
        <f t="shared" si="100"/>
        <v/>
      </c>
      <c r="N226" s="48">
        <f t="shared" si="100"/>
        <v>0.18764874924740982</v>
      </c>
      <c r="O226" s="48" t="str">
        <f t="shared" si="100"/>
        <v/>
      </c>
      <c r="P226" s="53"/>
      <c r="T226" s="42">
        <f>IFERROR(T177/T35*1000,"")</f>
        <v>0.54692416920025821</v>
      </c>
    </row>
    <row r="227" spans="2:41" x14ac:dyDescent="0.3">
      <c r="B227" s="3">
        <v>2040</v>
      </c>
      <c r="C227" s="48">
        <f t="shared" ref="C227:O227" si="101">IFERROR(C178/C36*1000,"")</f>
        <v>0.53011422070460612</v>
      </c>
      <c r="D227" s="48">
        <f t="shared" si="101"/>
        <v>0.20975365822691777</v>
      </c>
      <c r="E227" s="48">
        <f t="shared" si="101"/>
        <v>0.95000000000000007</v>
      </c>
      <c r="F227" s="48">
        <f t="shared" si="101"/>
        <v>4.3520017614159334</v>
      </c>
      <c r="G227" s="48">
        <f t="shared" si="101"/>
        <v>0.3</v>
      </c>
      <c r="H227" s="48" t="str">
        <f t="shared" si="101"/>
        <v/>
      </c>
      <c r="I227" s="48">
        <f t="shared" si="101"/>
        <v>3.3</v>
      </c>
      <c r="J227" s="48">
        <f t="shared" si="101"/>
        <v>1.7000000000000002</v>
      </c>
      <c r="K227" s="48" t="str">
        <f t="shared" si="101"/>
        <v/>
      </c>
      <c r="L227" s="48">
        <f t="shared" si="101"/>
        <v>1.65</v>
      </c>
      <c r="M227" s="48" t="str">
        <f t="shared" si="101"/>
        <v/>
      </c>
      <c r="N227" s="48">
        <f t="shared" si="101"/>
        <v>0.18366174119080045</v>
      </c>
      <c r="O227" s="48" t="str">
        <f t="shared" si="101"/>
        <v/>
      </c>
      <c r="P227" s="53"/>
      <c r="T227" s="42">
        <f>IFERROR(T178/T36*1000,"")</f>
        <v>0.50551665791727696</v>
      </c>
    </row>
    <row r="228" spans="2:41" x14ac:dyDescent="0.3">
      <c r="B228" s="3">
        <v>2050</v>
      </c>
      <c r="C228" s="48" t="str">
        <f t="shared" ref="C228:O228" si="102">IFERROR(C179/C37*1000,"")</f>
        <v/>
      </c>
      <c r="D228" s="48" t="str">
        <f t="shared" si="102"/>
        <v/>
      </c>
      <c r="E228" s="48">
        <f t="shared" si="102"/>
        <v>0.94999999999999973</v>
      </c>
      <c r="F228" s="48" t="str">
        <f t="shared" si="102"/>
        <v/>
      </c>
      <c r="G228" s="48">
        <f t="shared" si="102"/>
        <v>0.3</v>
      </c>
      <c r="H228" s="48" t="str">
        <f t="shared" si="102"/>
        <v/>
      </c>
      <c r="I228" s="48" t="str">
        <f t="shared" si="102"/>
        <v/>
      </c>
      <c r="J228" s="48" t="str">
        <f t="shared" si="102"/>
        <v/>
      </c>
      <c r="K228" s="48" t="str">
        <f t="shared" si="102"/>
        <v/>
      </c>
      <c r="L228" s="48">
        <f t="shared" si="102"/>
        <v>1.6499999999999997</v>
      </c>
      <c r="M228" s="48" t="str">
        <f t="shared" si="102"/>
        <v/>
      </c>
      <c r="N228" s="48">
        <f t="shared" si="102"/>
        <v>0.2310160402322986</v>
      </c>
      <c r="O228" s="48" t="str">
        <f t="shared" si="102"/>
        <v/>
      </c>
      <c r="P228" s="53"/>
      <c r="T228" s="42">
        <f>IFERROR(T179/T37*1000,"")</f>
        <v>0.54503533819892425</v>
      </c>
    </row>
    <row r="229" spans="2:41" x14ac:dyDescent="0.3">
      <c r="B229" s="41"/>
    </row>
    <row r="230" spans="2:41" ht="28.8" x14ac:dyDescent="0.3">
      <c r="B230" s="43" t="s">
        <v>47</v>
      </c>
    </row>
    <row r="231" spans="2:41" x14ac:dyDescent="0.3">
      <c r="B231" s="3">
        <v>2016</v>
      </c>
      <c r="C231" s="48" t="str">
        <f t="shared" ref="C231:O231" si="103">IFERROR(C186/C40*1000,"")</f>
        <v/>
      </c>
      <c r="D231" s="48" t="str">
        <f t="shared" si="103"/>
        <v/>
      </c>
      <c r="E231" s="48" t="str">
        <f t="shared" si="103"/>
        <v/>
      </c>
      <c r="F231" s="48" t="str">
        <f t="shared" si="103"/>
        <v/>
      </c>
      <c r="G231" s="48" t="str">
        <f t="shared" si="103"/>
        <v/>
      </c>
      <c r="H231" s="48" t="str">
        <f t="shared" si="103"/>
        <v/>
      </c>
      <c r="I231" s="48" t="str">
        <f t="shared" si="103"/>
        <v/>
      </c>
      <c r="J231" s="48" t="str">
        <f t="shared" si="103"/>
        <v/>
      </c>
      <c r="K231" s="48" t="str">
        <f t="shared" si="103"/>
        <v/>
      </c>
      <c r="L231" s="48" t="str">
        <f t="shared" si="103"/>
        <v/>
      </c>
      <c r="M231" s="48" t="str">
        <f t="shared" si="103"/>
        <v/>
      </c>
      <c r="N231" s="48" t="str">
        <f t="shared" si="103"/>
        <v/>
      </c>
      <c r="O231" s="48" t="str">
        <f t="shared" si="103"/>
        <v/>
      </c>
      <c r="P231" s="53"/>
      <c r="T231" s="42">
        <f>IFERROR(T186/Inputs_Summary!G72*1000,"")</f>
        <v>1.6480736264235584E-2</v>
      </c>
    </row>
    <row r="232" spans="2:41" x14ac:dyDescent="0.3">
      <c r="B232" s="3">
        <v>2030</v>
      </c>
      <c r="C232" s="48">
        <f t="shared" ref="C232:O232" si="104">IFERROR(C187/C41*1000,"")</f>
        <v>1.2330365477572749</v>
      </c>
      <c r="D232" s="48" t="str">
        <f t="shared" si="104"/>
        <v/>
      </c>
      <c r="E232" s="48" t="str">
        <f t="shared" si="104"/>
        <v/>
      </c>
      <c r="F232" s="48" t="str">
        <f t="shared" si="104"/>
        <v/>
      </c>
      <c r="G232" s="48">
        <f t="shared" si="104"/>
        <v>1.24</v>
      </c>
      <c r="H232" s="48">
        <f t="shared" si="104"/>
        <v>0.70507456548359604</v>
      </c>
      <c r="I232" s="48">
        <f t="shared" si="104"/>
        <v>2.2907692307692309</v>
      </c>
      <c r="J232" s="48">
        <f t="shared" si="104"/>
        <v>0.79657730380457292</v>
      </c>
      <c r="K232" s="48">
        <f t="shared" si="104"/>
        <v>0.86838185842064619</v>
      </c>
      <c r="L232" s="48">
        <f t="shared" si="104"/>
        <v>1.6099999999999999</v>
      </c>
      <c r="M232" s="48" t="str">
        <f t="shared" si="104"/>
        <v/>
      </c>
      <c r="N232" s="48">
        <f t="shared" si="104"/>
        <v>1.2808647561910551</v>
      </c>
      <c r="O232" s="48" t="str">
        <f t="shared" si="104"/>
        <v/>
      </c>
      <c r="P232" s="53"/>
      <c r="T232" s="42">
        <f>IFERROR(T187/Inputs_Summary!G73*1000,"")</f>
        <v>0.28527590212958032</v>
      </c>
    </row>
    <row r="233" spans="2:41" x14ac:dyDescent="0.3">
      <c r="B233" s="3">
        <v>2040</v>
      </c>
      <c r="C233" s="52">
        <f t="shared" ref="C233:O233" si="105">IFERROR(C188/C42*1000,"")</f>
        <v>1.2030370050959689</v>
      </c>
      <c r="D233" s="52" t="str">
        <f t="shared" si="105"/>
        <v/>
      </c>
      <c r="E233" s="52" t="str">
        <f t="shared" si="105"/>
        <v/>
      </c>
      <c r="F233" s="52" t="str">
        <f t="shared" si="105"/>
        <v/>
      </c>
      <c r="G233" s="52">
        <f t="shared" si="105"/>
        <v>1.24</v>
      </c>
      <c r="H233" s="52" t="str">
        <f t="shared" si="105"/>
        <v/>
      </c>
      <c r="I233" s="52">
        <f t="shared" si="105"/>
        <v>2.2907692307692309</v>
      </c>
      <c r="J233" s="52">
        <f t="shared" si="105"/>
        <v>0.79657730380457303</v>
      </c>
      <c r="K233" s="52">
        <f t="shared" si="105"/>
        <v>0.86490967508191297</v>
      </c>
      <c r="L233" s="52">
        <f t="shared" si="105"/>
        <v>1.6100000000000003</v>
      </c>
      <c r="M233" s="52" t="str">
        <f t="shared" si="105"/>
        <v/>
      </c>
      <c r="N233" s="52">
        <f t="shared" si="105"/>
        <v>1.2227213500719587</v>
      </c>
      <c r="O233" s="52" t="str">
        <f t="shared" si="105"/>
        <v/>
      </c>
      <c r="P233" s="53"/>
      <c r="T233" s="42">
        <f>IFERROR(T188/Inputs_Summary!G74*1000,"")</f>
        <v>0.21565722420944816</v>
      </c>
    </row>
    <row r="234" spans="2:41" x14ac:dyDescent="0.3">
      <c r="B234" s="3">
        <v>2050</v>
      </c>
      <c r="C234" s="55">
        <f t="shared" ref="C234:O234" si="106">IFERROR(C189/C43*1000,"")</f>
        <v>1.1213086948441335</v>
      </c>
      <c r="D234" s="55" t="str">
        <f t="shared" si="106"/>
        <v/>
      </c>
      <c r="E234" s="55" t="str">
        <f t="shared" si="106"/>
        <v/>
      </c>
      <c r="F234" s="55" t="str">
        <f t="shared" si="106"/>
        <v/>
      </c>
      <c r="G234" s="55">
        <f t="shared" si="106"/>
        <v>1.2400000000000002</v>
      </c>
      <c r="H234" s="55" t="str">
        <f t="shared" si="106"/>
        <v/>
      </c>
      <c r="I234" s="55" t="str">
        <f t="shared" si="106"/>
        <v/>
      </c>
      <c r="J234" s="55" t="str">
        <f t="shared" si="106"/>
        <v/>
      </c>
      <c r="K234" s="55" t="str">
        <f t="shared" si="106"/>
        <v/>
      </c>
      <c r="L234" s="55" t="str">
        <f t="shared" si="106"/>
        <v/>
      </c>
      <c r="M234" s="55" t="str">
        <f t="shared" si="106"/>
        <v/>
      </c>
      <c r="N234" s="55">
        <f t="shared" si="106"/>
        <v>1.4357696437278937</v>
      </c>
      <c r="O234" s="55" t="str">
        <f t="shared" si="106"/>
        <v/>
      </c>
      <c r="P234" s="53"/>
      <c r="T234" s="42">
        <f>IFERROR(T189/Inputs_Summary!G75*1000,"")</f>
        <v>0.156059777213889</v>
      </c>
    </row>
    <row r="235" spans="2:41" s="11" customFormat="1" x14ac:dyDescent="0.3"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T235" s="54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</row>
    <row r="236" spans="2:41" ht="28.8" x14ac:dyDescent="0.3">
      <c r="B236" s="43" t="s">
        <v>49</v>
      </c>
      <c r="T236" s="42"/>
    </row>
    <row r="237" spans="2:41" x14ac:dyDescent="0.3">
      <c r="B237" s="3">
        <v>2016</v>
      </c>
      <c r="C237" s="48" t="str">
        <f t="shared" ref="C237:O237" si="107">IFERROR(C206/C46*1000,"")</f>
        <v/>
      </c>
      <c r="D237" s="48" t="str">
        <f t="shared" si="107"/>
        <v/>
      </c>
      <c r="E237" s="48" t="str">
        <f t="shared" si="107"/>
        <v/>
      </c>
      <c r="F237" s="48" t="str">
        <f t="shared" si="107"/>
        <v/>
      </c>
      <c r="G237" s="48" t="str">
        <f t="shared" si="107"/>
        <v/>
      </c>
      <c r="H237" s="48" t="str">
        <f t="shared" si="107"/>
        <v/>
      </c>
      <c r="I237" s="48" t="str">
        <f t="shared" si="107"/>
        <v/>
      </c>
      <c r="J237" s="48" t="str">
        <f t="shared" si="107"/>
        <v/>
      </c>
      <c r="K237" s="48" t="str">
        <f t="shared" si="107"/>
        <v/>
      </c>
      <c r="L237" s="48" t="str">
        <f t="shared" si="107"/>
        <v/>
      </c>
      <c r="M237" s="48" t="str">
        <f t="shared" si="107"/>
        <v/>
      </c>
      <c r="N237" s="48" t="str">
        <f t="shared" si="107"/>
        <v/>
      </c>
      <c r="O237" s="48" t="str">
        <f t="shared" si="107"/>
        <v/>
      </c>
      <c r="P237" s="53"/>
      <c r="T237" s="42">
        <f>IFERROR(T206/Inputs_Summary!G72*1000,"")</f>
        <v>0</v>
      </c>
    </row>
    <row r="238" spans="2:41" x14ac:dyDescent="0.3">
      <c r="B238" s="3">
        <v>2030</v>
      </c>
      <c r="C238" s="48" t="str">
        <f t="shared" ref="C238:O238" si="108">IFERROR(C207/C47*1000,"")</f>
        <v/>
      </c>
      <c r="D238" s="48">
        <f t="shared" si="108"/>
        <v>1.2285233268624731</v>
      </c>
      <c r="E238" s="48">
        <f t="shared" si="108"/>
        <v>1.752562882874257</v>
      </c>
      <c r="F238" s="48">
        <f t="shared" si="108"/>
        <v>14.115676437813693</v>
      </c>
      <c r="G238" s="48">
        <f t="shared" si="108"/>
        <v>1.5034852998001438</v>
      </c>
      <c r="H238" s="48">
        <f t="shared" si="108"/>
        <v>0.59603270396132768</v>
      </c>
      <c r="I238" s="48" t="str">
        <f t="shared" si="108"/>
        <v/>
      </c>
      <c r="J238" s="48">
        <f t="shared" si="108"/>
        <v>0.54512506855431508</v>
      </c>
      <c r="K238" s="48" t="str">
        <f t="shared" si="108"/>
        <v/>
      </c>
      <c r="L238" s="48" t="str">
        <f t="shared" si="108"/>
        <v/>
      </c>
      <c r="M238" s="48">
        <f t="shared" si="108"/>
        <v>1.51</v>
      </c>
      <c r="N238" s="48" t="str">
        <f t="shared" si="108"/>
        <v/>
      </c>
      <c r="O238" s="48" t="str">
        <f t="shared" si="108"/>
        <v/>
      </c>
      <c r="P238" s="53"/>
      <c r="T238" s="42">
        <f>IFERROR(T207/Inputs_Summary!G73*1000,"")</f>
        <v>0.35855676572483647</v>
      </c>
    </row>
    <row r="239" spans="2:41" x14ac:dyDescent="0.3">
      <c r="B239" s="3">
        <v>2040</v>
      </c>
      <c r="C239" s="48" t="str">
        <f t="shared" ref="C239:O239" si="109">IFERROR(C208/C48*1000,"")</f>
        <v/>
      </c>
      <c r="D239" s="48">
        <f t="shared" si="109"/>
        <v>1.0204158986300451</v>
      </c>
      <c r="E239" s="48">
        <f t="shared" si="109"/>
        <v>1.7263060869146689</v>
      </c>
      <c r="F239" s="48">
        <f t="shared" si="109"/>
        <v>9.2441062259374984</v>
      </c>
      <c r="G239" s="48">
        <f t="shared" si="109"/>
        <v>1.2201215974361506</v>
      </c>
      <c r="H239" s="48">
        <f t="shared" si="109"/>
        <v>0.62006129208513661</v>
      </c>
      <c r="I239" s="48" t="str">
        <f t="shared" si="109"/>
        <v/>
      </c>
      <c r="J239" s="48">
        <f t="shared" si="109"/>
        <v>0.51039999629370558</v>
      </c>
      <c r="K239" s="48" t="str">
        <f t="shared" si="109"/>
        <v/>
      </c>
      <c r="L239" s="48" t="str">
        <f t="shared" si="109"/>
        <v/>
      </c>
      <c r="M239" s="48">
        <f t="shared" si="109"/>
        <v>1.51</v>
      </c>
      <c r="N239" s="48" t="str">
        <f t="shared" si="109"/>
        <v/>
      </c>
      <c r="O239" s="48" t="str">
        <f t="shared" si="109"/>
        <v/>
      </c>
      <c r="P239" s="53"/>
      <c r="T239" s="42">
        <f>IFERROR(T208/Inputs_Summary!G74*1000,"")</f>
        <v>0.63926612568418417</v>
      </c>
    </row>
    <row r="240" spans="2:41" x14ac:dyDescent="0.3">
      <c r="B240" s="3">
        <v>2050</v>
      </c>
      <c r="C240" s="48" t="str">
        <f t="shared" ref="C240:O240" si="110">IFERROR(C209/C49*1000,"")</f>
        <v/>
      </c>
      <c r="D240" s="48">
        <f t="shared" si="110"/>
        <v>1.0604614889877677</v>
      </c>
      <c r="E240" s="48">
        <f t="shared" si="110"/>
        <v>1.5665876628558848</v>
      </c>
      <c r="F240" s="48">
        <f t="shared" si="110"/>
        <v>14.412247061651577</v>
      </c>
      <c r="G240" s="48">
        <f t="shared" si="110"/>
        <v>1.0462618579386593</v>
      </c>
      <c r="H240" s="48">
        <f t="shared" si="110"/>
        <v>0.62403882892763407</v>
      </c>
      <c r="I240" s="48" t="str">
        <f t="shared" si="110"/>
        <v/>
      </c>
      <c r="J240" s="48">
        <f t="shared" si="110"/>
        <v>0.48179412739806032</v>
      </c>
      <c r="K240" s="48" t="str">
        <f t="shared" si="110"/>
        <v/>
      </c>
      <c r="L240" s="48" t="str">
        <f t="shared" si="110"/>
        <v/>
      </c>
      <c r="M240" s="48">
        <f t="shared" si="110"/>
        <v>1.51</v>
      </c>
      <c r="N240" s="48" t="str">
        <f t="shared" si="110"/>
        <v/>
      </c>
      <c r="O240" s="48" t="str">
        <f t="shared" si="110"/>
        <v/>
      </c>
      <c r="P240" s="53"/>
      <c r="T240" s="42">
        <f>IFERROR(T209/Inputs_Summary!G75*1000,"")</f>
        <v>0.84449261040897472</v>
      </c>
    </row>
    <row r="241" spans="2:41" x14ac:dyDescent="0.3">
      <c r="B241" s="41"/>
    </row>
    <row r="242" spans="2:41" ht="28.8" x14ac:dyDescent="0.3">
      <c r="B242" s="43" t="s">
        <v>50</v>
      </c>
      <c r="T242" s="43" t="s">
        <v>75</v>
      </c>
      <c r="U242" s="43" t="s">
        <v>73</v>
      </c>
      <c r="V242" s="43" t="s">
        <v>74</v>
      </c>
    </row>
    <row r="243" spans="2:41" x14ac:dyDescent="0.3">
      <c r="B243" s="3">
        <v>2016</v>
      </c>
      <c r="C243" s="48">
        <f t="shared" ref="C243:O243" si="111">IFERROR(C212/C52*1000,"")</f>
        <v>0.51037516938143923</v>
      </c>
      <c r="D243" s="48">
        <f t="shared" si="111"/>
        <v>0.20487259277908632</v>
      </c>
      <c r="E243" s="48">
        <f t="shared" si="111"/>
        <v>0.95000000000000007</v>
      </c>
      <c r="F243" s="48">
        <f t="shared" si="111"/>
        <v>2.7719237674542714</v>
      </c>
      <c r="G243" s="48">
        <f t="shared" si="111"/>
        <v>0.30000000000000004</v>
      </c>
      <c r="H243" s="48">
        <f t="shared" si="111"/>
        <v>0.93</v>
      </c>
      <c r="I243" s="48">
        <f t="shared" si="111"/>
        <v>3.2999999999999994</v>
      </c>
      <c r="J243" s="48">
        <f t="shared" si="111"/>
        <v>1.6999999999999997</v>
      </c>
      <c r="K243" s="48" t="str">
        <f t="shared" si="111"/>
        <v/>
      </c>
      <c r="L243" s="48">
        <f t="shared" si="111"/>
        <v>1.6499999999999997</v>
      </c>
      <c r="M243" s="48" t="str">
        <f t="shared" si="111"/>
        <v/>
      </c>
      <c r="N243" s="48">
        <f t="shared" si="111"/>
        <v>0.15605822366857675</v>
      </c>
      <c r="O243" s="48" t="str">
        <f t="shared" si="111"/>
        <v/>
      </c>
      <c r="P243" s="53"/>
      <c r="T243" s="47">
        <f>IFERROR(T212/Inputs_Summary!G72*1000,"")</f>
        <v>0.52689457522731098</v>
      </c>
      <c r="U243" s="42">
        <f>T243+Inputs_Summary!$G$62</f>
        <v>0.82689457522731091</v>
      </c>
      <c r="V243" s="42">
        <f>U243+Inputs_Summary!G64*T128/T52</f>
        <v>0.93258760396588514</v>
      </c>
    </row>
    <row r="244" spans="2:41" x14ac:dyDescent="0.3">
      <c r="B244" s="3">
        <v>2030</v>
      </c>
      <c r="C244" s="48">
        <f t="shared" ref="C244:O244" si="112">IFERROR(C213/C53*1000,"")</f>
        <v>0.78734952948672188</v>
      </c>
      <c r="D244" s="48">
        <f t="shared" si="112"/>
        <v>0.957992140634636</v>
      </c>
      <c r="E244" s="48">
        <f t="shared" si="112"/>
        <v>1.5434165569661102</v>
      </c>
      <c r="F244" s="48">
        <f t="shared" si="112"/>
        <v>13.199123654921193</v>
      </c>
      <c r="G244" s="48">
        <f t="shared" si="112"/>
        <v>0.8875676499288786</v>
      </c>
      <c r="H244" s="48">
        <f t="shared" si="112"/>
        <v>0.6338506857130356</v>
      </c>
      <c r="I244" s="48">
        <f t="shared" si="112"/>
        <v>2.4583634444651397</v>
      </c>
      <c r="J244" s="48">
        <f t="shared" si="112"/>
        <v>0.70609612476821271</v>
      </c>
      <c r="K244" s="48">
        <f t="shared" si="112"/>
        <v>0.98003054461301398</v>
      </c>
      <c r="L244" s="48">
        <f t="shared" si="112"/>
        <v>1.6599631992025337</v>
      </c>
      <c r="M244" s="48">
        <f t="shared" si="112"/>
        <v>1.51</v>
      </c>
      <c r="N244" s="48">
        <f t="shared" si="112"/>
        <v>0.77004992295277253</v>
      </c>
      <c r="O244" s="48" t="str">
        <f t="shared" si="112"/>
        <v/>
      </c>
      <c r="P244" s="53"/>
      <c r="T244" s="47">
        <f>IFERROR(T213/Inputs_Summary!G73*1000,"")</f>
        <v>0.87435181412165208</v>
      </c>
      <c r="U244" s="42">
        <f>T244+Inputs_Summary!$G$62</f>
        <v>1.174351814121652</v>
      </c>
      <c r="V244" s="42">
        <f>U244+Inputs_Summary!G65*T129/T53</f>
        <v>1.2346654814415683</v>
      </c>
    </row>
    <row r="245" spans="2:41" x14ac:dyDescent="0.3">
      <c r="B245" s="3">
        <v>2040</v>
      </c>
      <c r="C245" s="52">
        <f t="shared" ref="C245:O245" si="113">IFERROR(C214/C54*1000,"")</f>
        <v>0.96169517148617967</v>
      </c>
      <c r="D245" s="52">
        <f t="shared" si="113"/>
        <v>0.92613449275943038</v>
      </c>
      <c r="E245" s="52">
        <f t="shared" si="113"/>
        <v>1.6788038646522632</v>
      </c>
      <c r="F245" s="52">
        <f t="shared" si="113"/>
        <v>8.8210315853675407</v>
      </c>
      <c r="G245" s="52">
        <f t="shared" si="113"/>
        <v>0.78741406783697954</v>
      </c>
      <c r="H245" s="52">
        <f t="shared" si="113"/>
        <v>0.62006129208513661</v>
      </c>
      <c r="I245" s="52">
        <f t="shared" si="113"/>
        <v>2.4626003377859669</v>
      </c>
      <c r="J245" s="52">
        <f t="shared" si="113"/>
        <v>0.5519070527407397</v>
      </c>
      <c r="K245" s="52">
        <f t="shared" si="113"/>
        <v>0.97606032203583415</v>
      </c>
      <c r="L245" s="52">
        <f t="shared" si="113"/>
        <v>1.6595200485995043</v>
      </c>
      <c r="M245" s="52">
        <f t="shared" si="113"/>
        <v>1.51</v>
      </c>
      <c r="N245" s="52">
        <f t="shared" si="113"/>
        <v>0.74162251746671004</v>
      </c>
      <c r="O245" s="52" t="str">
        <f t="shared" si="113"/>
        <v/>
      </c>
      <c r="P245" s="53"/>
      <c r="T245" s="47">
        <f>IFERROR(T214/Inputs_Summary!G74*1000,"")</f>
        <v>0.93611703291961956</v>
      </c>
      <c r="U245" s="42">
        <f>T245+Inputs_Summary!$G$62</f>
        <v>1.2361170329196196</v>
      </c>
      <c r="V245" s="42">
        <f>U245+Inputs_Summary!G66*T130/T54</f>
        <v>1.2672195692032249</v>
      </c>
    </row>
    <row r="246" spans="2:41" x14ac:dyDescent="0.3">
      <c r="B246" s="3">
        <v>2050</v>
      </c>
      <c r="C246" s="55">
        <f t="shared" ref="C246:O246" si="114">IFERROR(C215/C55*1000,"")</f>
        <v>1.1328695398386699</v>
      </c>
      <c r="D246" s="55">
        <f t="shared" si="114"/>
        <v>1.0604614889877677</v>
      </c>
      <c r="E246" s="55">
        <f t="shared" si="114"/>
        <v>1.5495304066822215</v>
      </c>
      <c r="F246" s="55">
        <f t="shared" si="114"/>
        <v>14.412247061651577</v>
      </c>
      <c r="G246" s="55">
        <f t="shared" si="114"/>
        <v>0.71540519139325265</v>
      </c>
      <c r="H246" s="55">
        <f t="shared" si="114"/>
        <v>0.62403882892763407</v>
      </c>
      <c r="I246" s="55" t="str">
        <f t="shared" si="114"/>
        <v/>
      </c>
      <c r="J246" s="55">
        <f t="shared" si="114"/>
        <v>0.48179412739806032</v>
      </c>
      <c r="K246" s="55" t="str">
        <f t="shared" si="114"/>
        <v/>
      </c>
      <c r="L246" s="55">
        <f t="shared" si="114"/>
        <v>1.6499999999999997</v>
      </c>
      <c r="M246" s="55">
        <f t="shared" si="114"/>
        <v>1.51</v>
      </c>
      <c r="N246" s="55">
        <f t="shared" si="114"/>
        <v>0.92038621632680062</v>
      </c>
      <c r="O246" s="55" t="str">
        <f t="shared" si="114"/>
        <v/>
      </c>
      <c r="P246" s="53"/>
      <c r="T246" s="47">
        <f>IFERROR(T215/Inputs_Summary!G75*1000,"")</f>
        <v>1.0197020624792026</v>
      </c>
      <c r="U246" s="42">
        <f>T246+Inputs_Summary!$G$62</f>
        <v>1.3197020624792026</v>
      </c>
      <c r="V246" s="42">
        <f>U246+Inputs_Summary!G67*T131/T55</f>
        <v>1.3421502509084806</v>
      </c>
    </row>
    <row r="247" spans="2:41" s="58" customFormat="1" ht="21" x14ac:dyDescent="0.4">
      <c r="B247" s="59"/>
      <c r="O247" s="3"/>
      <c r="P247" s="11"/>
      <c r="Q247" s="3"/>
      <c r="R247" s="3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</row>
    <row r="248" spans="2:41" s="9" customFormat="1" ht="21" x14ac:dyDescent="0.4">
      <c r="B248" s="10" t="s">
        <v>131</v>
      </c>
      <c r="Y248" s="86"/>
    </row>
    <row r="249" spans="2:41" x14ac:dyDescent="0.3">
      <c r="Y249" s="12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</row>
    <row r="250" spans="2:41" ht="28.8" x14ac:dyDescent="0.3">
      <c r="B250" s="43" t="s">
        <v>124</v>
      </c>
      <c r="C250" s="43" t="s">
        <v>0</v>
      </c>
      <c r="D250" s="43" t="s">
        <v>1</v>
      </c>
      <c r="E250" s="43" t="s">
        <v>28</v>
      </c>
      <c r="F250" s="2" t="s">
        <v>29</v>
      </c>
      <c r="G250" s="2" t="s">
        <v>6</v>
      </c>
      <c r="H250" s="43" t="s">
        <v>2</v>
      </c>
      <c r="I250" s="43" t="s">
        <v>3</v>
      </c>
      <c r="J250" s="43" t="s">
        <v>4</v>
      </c>
      <c r="K250" s="43" t="s">
        <v>9</v>
      </c>
      <c r="L250" s="43" t="s">
        <v>8</v>
      </c>
      <c r="M250" s="43" t="s">
        <v>25</v>
      </c>
      <c r="N250" s="43" t="s">
        <v>7</v>
      </c>
      <c r="O250" s="43" t="s">
        <v>89</v>
      </c>
      <c r="P250" s="25"/>
      <c r="Q250" s="43" t="s">
        <v>5</v>
      </c>
      <c r="R250" s="43" t="s">
        <v>91</v>
      </c>
      <c r="T250" s="43" t="s">
        <v>10</v>
      </c>
      <c r="Y250" s="12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</row>
    <row r="251" spans="2:41" x14ac:dyDescent="0.3">
      <c r="B251" s="3">
        <v>2016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3"/>
      <c r="Q251" s="5">
        <f>G251+N251</f>
        <v>0</v>
      </c>
      <c r="R251" s="5">
        <f>SUM(K251:L251)</f>
        <v>0</v>
      </c>
      <c r="T251" s="5">
        <f>SUM(C251:O251)</f>
        <v>0</v>
      </c>
      <c r="Y251" s="12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</row>
    <row r="252" spans="2:41" x14ac:dyDescent="0.3">
      <c r="B252" s="3">
        <v>2030</v>
      </c>
      <c r="C252" s="50">
        <f>Inputs_Summary!E$53*((C11+C17))/14/1000</f>
        <v>17416.822857142859</v>
      </c>
      <c r="D252" s="50">
        <f>Inputs_Summary!F$53*((D11+D17))/14/1000</f>
        <v>5727.2142857142853</v>
      </c>
      <c r="E252" s="50">
        <f>Inputs_Summary!G$53*((E11+E17))/14/1000</f>
        <v>1223.4857142857143</v>
      </c>
      <c r="F252" s="50">
        <f>Inputs_Summary!H$53*((F11+F17))/14/1000</f>
        <v>2250.4114285714286</v>
      </c>
      <c r="G252" s="50">
        <f>Inputs_Summary!I$53*((G11+G17))/14/1000</f>
        <v>0</v>
      </c>
      <c r="H252" s="50">
        <f>Inputs_Summary!J$53*((H11+H17))/14/1000</f>
        <v>8365.7142857142862</v>
      </c>
      <c r="I252" s="50">
        <f>Inputs_Summary!K$53*((I11+I17))/14/1000</f>
        <v>1578.5714285714287</v>
      </c>
      <c r="J252" s="50">
        <f>Inputs_Summary!L$53*((J11+J17))/14/1000</f>
        <v>6983.4742857142855</v>
      </c>
      <c r="K252" s="50">
        <f>Inputs_Summary!M$53*((K11+K17))/14/1000</f>
        <v>0</v>
      </c>
      <c r="L252" s="50">
        <f>Inputs_Summary!N$53*((L11+L17))/14/1000</f>
        <v>0</v>
      </c>
      <c r="M252" s="50">
        <f>Inputs_Summary!O$53*((M11+M17))/14/1000</f>
        <v>0</v>
      </c>
      <c r="N252" s="50">
        <f>Inputs_Summary!P$53*((N11+N17))/14/1000</f>
        <v>0</v>
      </c>
      <c r="O252" s="50">
        <f>Inputs_Summary!Q$53*((O11+O17))/14/1000</f>
        <v>0</v>
      </c>
      <c r="P252" s="53"/>
      <c r="Q252" s="5">
        <f>G252+N252</f>
        <v>0</v>
      </c>
      <c r="R252" s="5">
        <f>SUM(K252:L252)</f>
        <v>0</v>
      </c>
      <c r="T252" s="5">
        <f>SUM(C252:O252)</f>
        <v>43545.694285714286</v>
      </c>
      <c r="Y252" s="12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</row>
    <row r="253" spans="2:41" x14ac:dyDescent="0.3">
      <c r="B253" s="3">
        <v>2040</v>
      </c>
      <c r="C253" s="50">
        <f>Inputs_Summary!E$53*((C12+C18))/10/1000</f>
        <v>24383.552</v>
      </c>
      <c r="D253" s="50">
        <f>Inputs_Summary!F$53*((D12+D18))/10/1000</f>
        <v>22049.775000000001</v>
      </c>
      <c r="E253" s="50">
        <f>Inputs_Summary!G$53*((E12+E18))/10/1000</f>
        <v>8906.9760000000006</v>
      </c>
      <c r="F253" s="50">
        <f>Inputs_Summary!H$53*((F12+F18))/10/1000</f>
        <v>3397.68</v>
      </c>
      <c r="G253" s="50">
        <f>Inputs_Summary!I$53*((G12+G18))/10/1000</f>
        <v>0</v>
      </c>
      <c r="H253" s="50">
        <f>Inputs_Summary!J$53*((H12+H18))/10/1000</f>
        <v>21440</v>
      </c>
      <c r="I253" s="50">
        <f>Inputs_Summary!K$53*((I12+I18))/10/1000</f>
        <v>2210</v>
      </c>
      <c r="J253" s="50">
        <f>Inputs_Summary!L$53*((J12+J18))/10/1000</f>
        <v>18496.864000000001</v>
      </c>
      <c r="K253" s="50">
        <f>Inputs_Summary!M$53*((K12+K18))/10/1000</f>
        <v>0</v>
      </c>
      <c r="L253" s="50">
        <f>Inputs_Summary!N$53*((L12+L18))/10/1000</f>
        <v>0</v>
      </c>
      <c r="M253" s="50">
        <f>Inputs_Summary!O$53*((M12+M18))/10/1000</f>
        <v>0</v>
      </c>
      <c r="N253" s="50">
        <f>Inputs_Summary!P$53*((N12+N18))/10/1000</f>
        <v>0</v>
      </c>
      <c r="O253" s="50">
        <f>Inputs_Summary!Q$53*((O12+O18))/10/1000</f>
        <v>0</v>
      </c>
      <c r="P253" s="53"/>
      <c r="Q253" s="5">
        <f>G253+N253</f>
        <v>0</v>
      </c>
      <c r="R253" s="5">
        <f>SUM(K253:L253)</f>
        <v>0</v>
      </c>
      <c r="T253" s="5">
        <f>SUM(C253:O253)</f>
        <v>100884.84700000001</v>
      </c>
      <c r="Y253" s="12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</row>
    <row r="254" spans="2:41" x14ac:dyDescent="0.3">
      <c r="B254" s="3">
        <v>2050</v>
      </c>
      <c r="C254" s="50">
        <f>Inputs_Summary!E$53*((C13+C19))/10/1000</f>
        <v>24383.552</v>
      </c>
      <c r="D254" s="50">
        <f>Inputs_Summary!F$53*((D13+D19))/10/1000</f>
        <v>38085.974999999999</v>
      </c>
      <c r="E254" s="50">
        <f>Inputs_Summary!G$53*((E13+E19))/10/1000</f>
        <v>15415.92</v>
      </c>
      <c r="F254" s="50">
        <f>Inputs_Summary!H$53*((F13+F19))/10/1000</f>
        <v>4818.5280000000002</v>
      </c>
      <c r="G254" s="50">
        <f>Inputs_Summary!I$53*((G13+G19))/10/1000</f>
        <v>0</v>
      </c>
      <c r="H254" s="50">
        <f>Inputs_Summary!J$53*((H13+H19))/10/1000</f>
        <v>23040</v>
      </c>
      <c r="I254" s="50">
        <f>Inputs_Summary!K$53*((I13+I19))/10/1000</f>
        <v>0</v>
      </c>
      <c r="J254" s="50">
        <f>Inputs_Summary!L$53*((J13+J19))/10/1000</f>
        <v>21738.959999999999</v>
      </c>
      <c r="K254" s="50">
        <f>Inputs_Summary!M$53*((K13+K19))/10/1000</f>
        <v>0</v>
      </c>
      <c r="L254" s="50">
        <f>Inputs_Summary!N$53*((L13+L19))/10/1000</f>
        <v>0</v>
      </c>
      <c r="M254" s="50">
        <f>Inputs_Summary!O$53*((M13+M19))/10/1000</f>
        <v>0</v>
      </c>
      <c r="N254" s="50">
        <f>Inputs_Summary!P$53*((N13+N19))/10/1000</f>
        <v>0</v>
      </c>
      <c r="O254" s="50">
        <f>Inputs_Summary!Q$53*((O13+O19))/10/1000</f>
        <v>0</v>
      </c>
      <c r="P254" s="53"/>
      <c r="Q254" s="5">
        <f>G254+N254</f>
        <v>0</v>
      </c>
      <c r="R254" s="5">
        <f>SUM(K254:L254)</f>
        <v>0</v>
      </c>
      <c r="T254" s="5">
        <f>SUM(C254:O254)</f>
        <v>127482.935</v>
      </c>
      <c r="Y254" s="12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</row>
    <row r="255" spans="2:41" x14ac:dyDescent="0.3">
      <c r="B255" s="41"/>
      <c r="Y255" s="12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</row>
    <row r="256" spans="2:41" ht="28.8" x14ac:dyDescent="0.3">
      <c r="B256" s="43" t="s">
        <v>125</v>
      </c>
      <c r="C256" s="43" t="s">
        <v>0</v>
      </c>
      <c r="D256" s="43" t="s">
        <v>1</v>
      </c>
      <c r="E256" s="43" t="s">
        <v>28</v>
      </c>
      <c r="F256" s="2" t="s">
        <v>29</v>
      </c>
      <c r="G256" s="2" t="s">
        <v>6</v>
      </c>
      <c r="H256" s="43" t="s">
        <v>2</v>
      </c>
      <c r="I256" s="43" t="s">
        <v>3</v>
      </c>
      <c r="J256" s="43" t="s">
        <v>4</v>
      </c>
      <c r="K256" s="43" t="s">
        <v>9</v>
      </c>
      <c r="L256" s="43" t="s">
        <v>8</v>
      </c>
      <c r="M256" s="43" t="s">
        <v>25</v>
      </c>
      <c r="N256" s="43" t="s">
        <v>7</v>
      </c>
      <c r="O256" s="43" t="s">
        <v>89</v>
      </c>
      <c r="P256" s="25"/>
      <c r="Q256" s="43" t="s">
        <v>5</v>
      </c>
      <c r="R256" s="43" t="s">
        <v>91</v>
      </c>
      <c r="T256" s="43" t="s">
        <v>10</v>
      </c>
      <c r="Y256" s="12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</row>
    <row r="257" spans="2:41" x14ac:dyDescent="0.3">
      <c r="B257" s="3">
        <v>2016</v>
      </c>
      <c r="C257" s="50">
        <f>C52*Inputs_Summary!E$54/1000</f>
        <v>45896.9543048372</v>
      </c>
      <c r="D257" s="50">
        <f>D52*Inputs_Summary!F$54/1000</f>
        <v>1194.2541863648376</v>
      </c>
      <c r="E257" s="50">
        <f>E52*Inputs_Summary!G$54/1000</f>
        <v>24.194456191623686</v>
      </c>
      <c r="F257" s="50">
        <f>F52*Inputs_Summary!H$54/1000</f>
        <v>64.778037480530941</v>
      </c>
      <c r="G257" s="50">
        <f>G52*Inputs_Summary!I$54/1000</f>
        <v>0</v>
      </c>
      <c r="H257" s="50">
        <f>H52*Inputs_Summary!J$54/1000</f>
        <v>482.6659542319224</v>
      </c>
      <c r="I257" s="50">
        <f>I52*Inputs_Summary!K$54/1000</f>
        <v>107.59709033191633</v>
      </c>
      <c r="J257" s="50">
        <f>J52*Inputs_Summary!L$54/1000</f>
        <v>290.29948580609926</v>
      </c>
      <c r="K257" s="50">
        <f>K52*Inputs_Summary!M$54/1000</f>
        <v>0</v>
      </c>
      <c r="L257" s="50">
        <f>L52*Inputs_Summary!N$54/1000</f>
        <v>0</v>
      </c>
      <c r="M257" s="50">
        <f>M52*Inputs_Summary!O$54/1000</f>
        <v>0</v>
      </c>
      <c r="N257" s="50">
        <f>N52*Inputs_Summary!P$54/1000</f>
        <v>0</v>
      </c>
      <c r="O257" s="50">
        <f>O52*Inputs_Summary!Q$54/1000</f>
        <v>0</v>
      </c>
      <c r="P257" s="53"/>
      <c r="Q257" s="5">
        <f>G257+N257</f>
        <v>0</v>
      </c>
      <c r="R257" s="5">
        <f>SUM(K257:L257)</f>
        <v>0</v>
      </c>
      <c r="T257" s="5">
        <f>SUM(C257:O257)</f>
        <v>48060.743515244132</v>
      </c>
      <c r="Y257" s="12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</row>
    <row r="258" spans="2:41" x14ac:dyDescent="0.3">
      <c r="B258" s="3">
        <v>2030</v>
      </c>
      <c r="C258" s="50">
        <f>C53*Inputs_Summary!E$54/1000</f>
        <v>39023.677236907686</v>
      </c>
      <c r="D258" s="50">
        <f>D53*Inputs_Summary!F$54/1000</f>
        <v>4411.7871375702907</v>
      </c>
      <c r="E258" s="50">
        <f>E53*Inputs_Summary!G$54/1000</f>
        <v>271.78583433336337</v>
      </c>
      <c r="F258" s="50">
        <f>F53*Inputs_Summary!H$54/1000</f>
        <v>19.518185292584519</v>
      </c>
      <c r="G258" s="50">
        <f>G53*Inputs_Summary!I$54/1000</f>
        <v>0</v>
      </c>
      <c r="H258" s="50">
        <f>H53*Inputs_Summary!J$54/1000</f>
        <v>7543.3053485492301</v>
      </c>
      <c r="I258" s="50">
        <f>I53*Inputs_Summary!K$54/1000</f>
        <v>657.14759721500593</v>
      </c>
      <c r="J258" s="50">
        <f>J53*Inputs_Summary!L$54/1000</f>
        <v>2476.4105578789613</v>
      </c>
      <c r="K258" s="50">
        <f>K53*Inputs_Summary!M$54/1000</f>
        <v>0</v>
      </c>
      <c r="L258" s="50">
        <f>L53*Inputs_Summary!N$54/1000</f>
        <v>0</v>
      </c>
      <c r="M258" s="50">
        <f>M53*Inputs_Summary!O$54/1000</f>
        <v>0</v>
      </c>
      <c r="N258" s="50">
        <f>N53*Inputs_Summary!P$54/1000</f>
        <v>0</v>
      </c>
      <c r="O258" s="50">
        <f>O53*Inputs_Summary!Q$54/1000</f>
        <v>0</v>
      </c>
      <c r="P258" s="53"/>
      <c r="Q258" s="5">
        <f>G258+N258</f>
        <v>0</v>
      </c>
      <c r="R258" s="5">
        <f>SUM(K258:L258)</f>
        <v>0</v>
      </c>
      <c r="T258" s="5">
        <f>SUM(C258:O258)</f>
        <v>54403.631897747116</v>
      </c>
      <c r="Y258" s="12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</row>
    <row r="259" spans="2:41" x14ac:dyDescent="0.3">
      <c r="B259" s="3">
        <v>2040</v>
      </c>
      <c r="C259" s="50">
        <f>C54*Inputs_Summary!E$54/1000</f>
        <v>23007.971063610672</v>
      </c>
      <c r="D259" s="50">
        <f>D54*Inputs_Summary!F$54/1000</f>
        <v>9691.68790465645</v>
      </c>
      <c r="E259" s="50">
        <f>E54*Inputs_Summary!G$54/1000</f>
        <v>1162.202341429025</v>
      </c>
      <c r="F259" s="50">
        <f>F54*Inputs_Summary!H$54/1000</f>
        <v>32.328030622064894</v>
      </c>
      <c r="G259" s="50">
        <f>G54*Inputs_Summary!I$54/1000</f>
        <v>0</v>
      </c>
      <c r="H259" s="50">
        <f>H54*Inputs_Summary!J$54/1000</f>
        <v>12389.452620347094</v>
      </c>
      <c r="I259" s="50">
        <f>I54*Inputs_Summary!K$54/1000</f>
        <v>654.05213544206208</v>
      </c>
      <c r="J259" s="50">
        <f>J54*Inputs_Summary!L$54/1000</f>
        <v>4250.0233448330555</v>
      </c>
      <c r="K259" s="50">
        <f>K54*Inputs_Summary!M$54/1000</f>
        <v>0</v>
      </c>
      <c r="L259" s="50">
        <f>L54*Inputs_Summary!N$54/1000</f>
        <v>0</v>
      </c>
      <c r="M259" s="50">
        <f>M54*Inputs_Summary!O$54/1000</f>
        <v>0</v>
      </c>
      <c r="N259" s="50">
        <f>N54*Inputs_Summary!P$54/1000</f>
        <v>0</v>
      </c>
      <c r="O259" s="50">
        <f>O54*Inputs_Summary!Q$54/1000</f>
        <v>0</v>
      </c>
      <c r="P259" s="53"/>
      <c r="Q259" s="5">
        <f>G259+N259</f>
        <v>0</v>
      </c>
      <c r="R259" s="5">
        <f>SUM(K259:L259)</f>
        <v>0</v>
      </c>
      <c r="T259" s="5">
        <f>SUM(C259:O259)</f>
        <v>51187.717440940425</v>
      </c>
      <c r="Y259" s="12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</row>
    <row r="260" spans="2:41" x14ac:dyDescent="0.3">
      <c r="B260" s="3">
        <v>2050</v>
      </c>
      <c r="C260" s="50">
        <f>C55*Inputs_Summary!E$54/1000</f>
        <v>16343.861031723764</v>
      </c>
      <c r="D260" s="50">
        <f>D55*Inputs_Summary!F$54/1000</f>
        <v>15007.072973110469</v>
      </c>
      <c r="E260" s="50">
        <f>E55*Inputs_Summary!G$54/1000</f>
        <v>2654.4894639408412</v>
      </c>
      <c r="F260" s="50">
        <f>F55*Inputs_Summary!H$54/1000</f>
        <v>24.814399631019473</v>
      </c>
      <c r="G260" s="50">
        <f>G55*Inputs_Summary!I$54/1000</f>
        <v>0</v>
      </c>
      <c r="H260" s="50">
        <f>H55*Inputs_Summary!J$54/1000</f>
        <v>13229.176803287257</v>
      </c>
      <c r="I260" s="50">
        <f>I55*Inputs_Summary!K$54/1000</f>
        <v>0</v>
      </c>
      <c r="J260" s="50">
        <f>J55*Inputs_Summary!L$54/1000</f>
        <v>4860.8400701096389</v>
      </c>
      <c r="K260" s="50">
        <f>K55*Inputs_Summary!M$54/1000</f>
        <v>0</v>
      </c>
      <c r="L260" s="50">
        <f>L55*Inputs_Summary!N$54/1000</f>
        <v>0</v>
      </c>
      <c r="M260" s="50">
        <f>M55*Inputs_Summary!O$54/1000</f>
        <v>0</v>
      </c>
      <c r="N260" s="50">
        <f>N55*Inputs_Summary!P$54/1000</f>
        <v>0</v>
      </c>
      <c r="O260" s="50">
        <f>O55*Inputs_Summary!Q$54/1000</f>
        <v>0</v>
      </c>
      <c r="P260" s="53"/>
      <c r="Q260" s="5">
        <f>G260+N260</f>
        <v>0</v>
      </c>
      <c r="R260" s="5">
        <f>SUM(K260:L260)</f>
        <v>0</v>
      </c>
      <c r="T260" s="5">
        <f>SUM(C260:O260)</f>
        <v>52120.254741802986</v>
      </c>
      <c r="Y260" s="12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</row>
    <row r="261" spans="2:41" x14ac:dyDescent="0.3">
      <c r="B261" s="11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11"/>
      <c r="R261" s="11"/>
      <c r="Y261" s="12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</row>
    <row r="262" spans="2:41" ht="28.8" x14ac:dyDescent="0.3">
      <c r="B262" s="43" t="s">
        <v>126</v>
      </c>
      <c r="C262" s="43" t="s">
        <v>0</v>
      </c>
      <c r="D262" s="43" t="s">
        <v>1</v>
      </c>
      <c r="E262" s="43" t="s">
        <v>28</v>
      </c>
      <c r="F262" s="2" t="s">
        <v>29</v>
      </c>
      <c r="G262" s="2" t="s">
        <v>6</v>
      </c>
      <c r="H262" s="43" t="s">
        <v>2</v>
      </c>
      <c r="I262" s="43" t="s">
        <v>3</v>
      </c>
      <c r="J262" s="43" t="s">
        <v>4</v>
      </c>
      <c r="K262" s="43" t="s">
        <v>9</v>
      </c>
      <c r="L262" s="43" t="s">
        <v>8</v>
      </c>
      <c r="M262" s="43" t="s">
        <v>25</v>
      </c>
      <c r="N262" s="43" t="s">
        <v>7</v>
      </c>
      <c r="O262" s="43" t="s">
        <v>89</v>
      </c>
      <c r="P262" s="25"/>
      <c r="Q262" s="43" t="s">
        <v>5</v>
      </c>
      <c r="R262" s="43" t="s">
        <v>91</v>
      </c>
      <c r="T262" s="43" t="s">
        <v>10</v>
      </c>
      <c r="Y262" s="12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</row>
    <row r="263" spans="2:41" x14ac:dyDescent="0.3">
      <c r="B263" s="3">
        <v>2016</v>
      </c>
      <c r="C263" s="50">
        <v>0</v>
      </c>
      <c r="D263" s="50">
        <v>0</v>
      </c>
      <c r="E263" s="50">
        <v>0</v>
      </c>
      <c r="F263" s="50">
        <v>0</v>
      </c>
      <c r="G263" s="50">
        <v>0</v>
      </c>
      <c r="H263" s="50">
        <v>0</v>
      </c>
      <c r="I263" s="50">
        <v>0</v>
      </c>
      <c r="J263" s="50">
        <v>0</v>
      </c>
      <c r="K263" s="50">
        <v>0</v>
      </c>
      <c r="L263" s="50">
        <v>0</v>
      </c>
      <c r="M263" s="50">
        <v>0</v>
      </c>
      <c r="N263" s="50">
        <v>0</v>
      </c>
      <c r="O263" s="50">
        <v>0</v>
      </c>
      <c r="P263" s="53"/>
      <c r="Q263" s="5">
        <f>G263+N263</f>
        <v>0</v>
      </c>
      <c r="R263" s="5">
        <f>SUM(K263:L263)</f>
        <v>0</v>
      </c>
      <c r="T263" s="5">
        <f>SUM(C263:O263)</f>
        <v>0</v>
      </c>
      <c r="Y263" s="12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</row>
    <row r="264" spans="2:41" x14ac:dyDescent="0.3">
      <c r="B264" s="3">
        <v>2030</v>
      </c>
      <c r="C264" s="50">
        <f>Inputs_Summary!E$56*((C11+C17)-(C10+C16))/14/1000</f>
        <v>3771.1328571428571</v>
      </c>
      <c r="D264" s="50">
        <f>Inputs_Summary!F$56*((D11+D17)-(D10+D16))/14/1000</f>
        <v>3281.014285714286</v>
      </c>
      <c r="E264" s="50">
        <f>Inputs_Summary!G$56*((E11+E17)-(E10+E16))/14/1000</f>
        <v>209.14285714285714</v>
      </c>
      <c r="F264" s="50">
        <f>Inputs_Summary!H$56*((F11+F17)-(F10+F16))/14/1000</f>
        <v>384.68571428571425</v>
      </c>
      <c r="G264" s="50">
        <f>Inputs_Summary!I$56*((G11+G17)-(G10+G16))/14/1000</f>
        <v>0</v>
      </c>
      <c r="H264" s="50">
        <f>Inputs_Summary!J$56*((H11+H17)-(H10+H16))/14/1000</f>
        <v>5703.0285714285719</v>
      </c>
      <c r="I264" s="50">
        <f>Inputs_Summary!K$56*((I11+I17)-(I10+I16))/14/1000</f>
        <v>546.42857142857144</v>
      </c>
      <c r="J264" s="50">
        <f>Inputs_Summary!L$56*((J11+J17)-(J10+J16))/14/1000</f>
        <v>3940.2171428571428</v>
      </c>
      <c r="K264" s="50">
        <f>Inputs_Summary!M$56*((K11+K17)-(K10+K16))/14/1000</f>
        <v>0</v>
      </c>
      <c r="L264" s="50">
        <f>Inputs_Summary!N$56*((L11+L17)-(L10+L16))/14/1000</f>
        <v>0</v>
      </c>
      <c r="M264" s="50">
        <f>Inputs_Summary!O$56*((M11+M17)-(M10+M16))/14/1000</f>
        <v>0</v>
      </c>
      <c r="N264" s="50">
        <f>Inputs_Summary!P$56*((N11+N17)-(N10+N16))/14/1000</f>
        <v>0</v>
      </c>
      <c r="O264" s="50">
        <f>Inputs_Summary!Q$56*((O11+O17)-(O10+O16))/14/1000</f>
        <v>0</v>
      </c>
      <c r="P264" s="53"/>
      <c r="Q264" s="5">
        <f>G264+N264</f>
        <v>0</v>
      </c>
      <c r="R264" s="5">
        <f>SUM(K264:L264)</f>
        <v>0</v>
      </c>
      <c r="T264" s="5">
        <f>SUM(C264:O264)</f>
        <v>17835.650000000001</v>
      </c>
      <c r="Y264" s="12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</row>
    <row r="265" spans="2:41" x14ac:dyDescent="0.3">
      <c r="B265" s="3">
        <v>2040</v>
      </c>
      <c r="C265" s="50">
        <f>Inputs_Summary!E$56*((C12+C18))/10/1000</f>
        <v>5712.0640000000003</v>
      </c>
      <c r="D265" s="50">
        <f>Inputs_Summary!F$56*((D12+D18))/10/1000</f>
        <v>12631.905000000001</v>
      </c>
      <c r="E265" s="50">
        <f>Inputs_Summary!G$56*((E12+E18))/10/1000</f>
        <v>1522.56</v>
      </c>
      <c r="F265" s="50">
        <f>Inputs_Summary!H$56*((F12+F18))/10/1000</f>
        <v>580.79999999999995</v>
      </c>
      <c r="G265" s="50">
        <f>Inputs_Summary!I$56*((G12+G18))/10/1000</f>
        <v>0</v>
      </c>
      <c r="H265" s="50">
        <f>Inputs_Summary!J$56*((H12+H18))/10/1000</f>
        <v>14740</v>
      </c>
      <c r="I265" s="50">
        <f>Inputs_Summary!K$56*((I12+I18))/10/1000</f>
        <v>765</v>
      </c>
      <c r="J265" s="50">
        <f>Inputs_Summary!L$56*((J12+J18))/10/1000</f>
        <v>10436.304</v>
      </c>
      <c r="K265" s="50">
        <f>Inputs_Summary!M$56*((K12+K18))/10/1000</f>
        <v>0</v>
      </c>
      <c r="L265" s="50">
        <f>Inputs_Summary!N$56*((L12+L18))/10/1000</f>
        <v>0</v>
      </c>
      <c r="M265" s="50">
        <f>Inputs_Summary!O$56*((M12+M18))/10/1000</f>
        <v>0</v>
      </c>
      <c r="N265" s="50">
        <f>Inputs_Summary!P$56*((N12+N18))/10/1000</f>
        <v>0</v>
      </c>
      <c r="O265" s="50">
        <f>Inputs_Summary!Q$56*((O12+O18))/10/1000</f>
        <v>0</v>
      </c>
      <c r="P265" s="53"/>
      <c r="Q265" s="5">
        <f>G265+N265</f>
        <v>0</v>
      </c>
      <c r="R265" s="5">
        <f>SUM(K265:L265)</f>
        <v>0</v>
      </c>
      <c r="T265" s="5">
        <f>SUM(C265:O265)</f>
        <v>46388.633000000002</v>
      </c>
      <c r="Y265" s="12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</row>
    <row r="266" spans="2:41" x14ac:dyDescent="0.3">
      <c r="B266" s="3">
        <v>2050</v>
      </c>
      <c r="C266" s="50">
        <f>Inputs_Summary!E$56*((C13+C19))/10/1000</f>
        <v>5712.0640000000003</v>
      </c>
      <c r="D266" s="50">
        <f>Inputs_Summary!F$56*((D13+D19))/10/1000</f>
        <v>21818.744999999999</v>
      </c>
      <c r="E266" s="50">
        <f>Inputs_Summary!G$56*((E13+E19))/10/1000</f>
        <v>2635.2</v>
      </c>
      <c r="F266" s="50">
        <f>Inputs_Summary!H$56*((F13+F19))/10/1000</f>
        <v>823.68</v>
      </c>
      <c r="G266" s="50">
        <f>Inputs_Summary!I$56*((G13+G19))/10/1000</f>
        <v>0</v>
      </c>
      <c r="H266" s="50">
        <f>Inputs_Summary!J$56*((H13+H19))/10/1000</f>
        <v>15840</v>
      </c>
      <c r="I266" s="50">
        <f>Inputs_Summary!K$56*((I13+I19))/10/1000</f>
        <v>0</v>
      </c>
      <c r="J266" s="50">
        <f>Inputs_Summary!L$56*((J13+J19))/10/1000</f>
        <v>12265.56</v>
      </c>
      <c r="K266" s="50">
        <f>Inputs_Summary!M$56*((K13+K19))/10/1000</f>
        <v>0</v>
      </c>
      <c r="L266" s="50">
        <f>Inputs_Summary!N$56*((L13+L19))/10/1000</f>
        <v>0</v>
      </c>
      <c r="M266" s="50">
        <f>Inputs_Summary!O$56*((M13+M19))/10/1000</f>
        <v>0</v>
      </c>
      <c r="N266" s="50">
        <f>Inputs_Summary!P$56*((N13+N19))/10/1000</f>
        <v>0</v>
      </c>
      <c r="O266" s="50">
        <f>Inputs_Summary!Q$56*((O13+O19))/10/1000</f>
        <v>0</v>
      </c>
      <c r="P266" s="53"/>
      <c r="Q266" s="5">
        <f>G266+N266</f>
        <v>0</v>
      </c>
      <c r="R266" s="5">
        <f>SUM(K266:L266)</f>
        <v>0</v>
      </c>
      <c r="T266" s="5">
        <f>SUM(C266:O266)</f>
        <v>59095.248999999996</v>
      </c>
      <c r="Y266" s="12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</row>
    <row r="267" spans="2:41" x14ac:dyDescent="0.3">
      <c r="B267" s="41"/>
      <c r="Y267" s="12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</row>
    <row r="268" spans="2:41" ht="28.8" x14ac:dyDescent="0.3">
      <c r="B268" s="43" t="s">
        <v>127</v>
      </c>
      <c r="C268" s="43" t="s">
        <v>0</v>
      </c>
      <c r="D268" s="43" t="s">
        <v>1</v>
      </c>
      <c r="E268" s="43" t="s">
        <v>28</v>
      </c>
      <c r="F268" s="2" t="s">
        <v>29</v>
      </c>
      <c r="G268" s="2" t="s">
        <v>6</v>
      </c>
      <c r="H268" s="43" t="s">
        <v>2</v>
      </c>
      <c r="I268" s="43" t="s">
        <v>3</v>
      </c>
      <c r="J268" s="43" t="s">
        <v>4</v>
      </c>
      <c r="K268" s="43" t="s">
        <v>9</v>
      </c>
      <c r="L268" s="43" t="s">
        <v>8</v>
      </c>
      <c r="M268" s="43" t="s">
        <v>25</v>
      </c>
      <c r="N268" s="43" t="s">
        <v>7</v>
      </c>
      <c r="O268" s="43" t="s">
        <v>89</v>
      </c>
      <c r="P268" s="25"/>
      <c r="Q268" s="43" t="s">
        <v>5</v>
      </c>
      <c r="R268" s="43" t="s">
        <v>91</v>
      </c>
      <c r="T268" s="43" t="s">
        <v>10</v>
      </c>
      <c r="Y268" s="12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</row>
    <row r="269" spans="2:41" x14ac:dyDescent="0.3">
      <c r="B269" s="38"/>
      <c r="C269" s="50">
        <f>C52*Inputs_Summary!E$57/1000</f>
        <v>28685.596440523248</v>
      </c>
      <c r="D269" s="50">
        <f>D52*Inputs_Summary!F$57/1000</f>
        <v>176.92654612812407</v>
      </c>
      <c r="E269" s="50">
        <f>E52*Inputs_Summary!G$57/1000</f>
        <v>4.5364605359294412</v>
      </c>
      <c r="F269" s="50">
        <f>F52*Inputs_Summary!H$57/1000</f>
        <v>12.145882027599551</v>
      </c>
      <c r="G269" s="50">
        <f>G52*Inputs_Summary!I$57/1000</f>
        <v>0</v>
      </c>
      <c r="H269" s="50">
        <f>H52*Inputs_Summary!J$57/1000</f>
        <v>16.08886514106408</v>
      </c>
      <c r="I269" s="50">
        <f>I52*Inputs_Summary!K$57/1000</f>
        <v>12.415048884451885</v>
      </c>
      <c r="J269" s="50">
        <f>J52*Inputs_Summary!L$57/1000</f>
        <v>47.503552222816239</v>
      </c>
      <c r="K269" s="50">
        <f>K52*Inputs_Summary!M$57/1000</f>
        <v>0</v>
      </c>
      <c r="L269" s="50">
        <f>L52*Inputs_Summary!N$57/1000</f>
        <v>0</v>
      </c>
      <c r="M269" s="50">
        <f>M52*Inputs_Summary!O$57/1000</f>
        <v>0</v>
      </c>
      <c r="N269" s="50">
        <f>N52*Inputs_Summary!P$57/1000</f>
        <v>0</v>
      </c>
      <c r="O269" s="50">
        <f>O52*Inputs_Summary!Q$57/1000</f>
        <v>0</v>
      </c>
      <c r="P269" s="53"/>
      <c r="Q269" s="5">
        <f>G269+N269</f>
        <v>0</v>
      </c>
      <c r="R269" s="5">
        <f>SUM(K269:L269)</f>
        <v>0</v>
      </c>
      <c r="T269" s="5">
        <f>SUM(C269:O269)</f>
        <v>28955.212795463234</v>
      </c>
      <c r="Y269" s="12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</row>
    <row r="270" spans="2:41" x14ac:dyDescent="0.3">
      <c r="C270" s="50">
        <f>C53*Inputs_Summary!E$57/1000</f>
        <v>24389.798273067303</v>
      </c>
      <c r="D270" s="50">
        <f>D53*Inputs_Summary!F$57/1000</f>
        <v>653.59809445485791</v>
      </c>
      <c r="E270" s="50">
        <f>E53*Inputs_Summary!G$57/1000</f>
        <v>50.959843937505632</v>
      </c>
      <c r="F270" s="50">
        <f>F53*Inputs_Summary!H$57/1000</f>
        <v>3.6596597423595978</v>
      </c>
      <c r="G270" s="50">
        <f>G53*Inputs_Summary!I$57/1000</f>
        <v>0</v>
      </c>
      <c r="H270" s="50">
        <f>H53*Inputs_Summary!J$57/1000</f>
        <v>251.44351161830767</v>
      </c>
      <c r="I270" s="50">
        <f>I53*Inputs_Summary!K$57/1000</f>
        <v>75.824722755577611</v>
      </c>
      <c r="J270" s="50">
        <f>J53*Inputs_Summary!L$57/1000</f>
        <v>405.23081856201179</v>
      </c>
      <c r="K270" s="50">
        <f>K53*Inputs_Summary!M$57/1000</f>
        <v>0</v>
      </c>
      <c r="L270" s="50">
        <f>L53*Inputs_Summary!N$57/1000</f>
        <v>0</v>
      </c>
      <c r="M270" s="50">
        <f>M53*Inputs_Summary!O$57/1000</f>
        <v>0</v>
      </c>
      <c r="N270" s="50">
        <f>N53*Inputs_Summary!P$57/1000</f>
        <v>0</v>
      </c>
      <c r="O270" s="50">
        <f>O53*Inputs_Summary!Q$57/1000</f>
        <v>0</v>
      </c>
      <c r="P270" s="53"/>
      <c r="Q270" s="5">
        <f>G270+N270</f>
        <v>0</v>
      </c>
      <c r="R270" s="5">
        <f>SUM(K270:L270)</f>
        <v>0</v>
      </c>
      <c r="T270" s="5">
        <f>SUM(C270:O270)</f>
        <v>25830.514924137922</v>
      </c>
      <c r="Y270" s="12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</row>
    <row r="271" spans="2:41" x14ac:dyDescent="0.3">
      <c r="C271" s="50">
        <f>C54*Inputs_Summary!E$57/1000</f>
        <v>14379.98191475667</v>
      </c>
      <c r="D271" s="50">
        <f>D54*Inputs_Summary!F$57/1000</f>
        <v>1435.8056155046593</v>
      </c>
      <c r="E271" s="50">
        <f>E54*Inputs_Summary!G$57/1000</f>
        <v>217.91293901794216</v>
      </c>
      <c r="F271" s="50">
        <f>F54*Inputs_Summary!H$57/1000</f>
        <v>6.0615057416371672</v>
      </c>
      <c r="G271" s="50">
        <f>G54*Inputs_Summary!I$57/1000</f>
        <v>0</v>
      </c>
      <c r="H271" s="50">
        <f>H54*Inputs_Summary!J$57/1000</f>
        <v>412.98175401156976</v>
      </c>
      <c r="I271" s="50">
        <f>I54*Inputs_Summary!K$57/1000</f>
        <v>75.467554089468706</v>
      </c>
      <c r="J271" s="50">
        <f>J54*Inputs_Summary!L$57/1000</f>
        <v>695.45836551813625</v>
      </c>
      <c r="K271" s="50">
        <f>K54*Inputs_Summary!M$57/1000</f>
        <v>0</v>
      </c>
      <c r="L271" s="50">
        <f>L54*Inputs_Summary!N$57/1000</f>
        <v>0</v>
      </c>
      <c r="M271" s="50">
        <f>M54*Inputs_Summary!O$57/1000</f>
        <v>0</v>
      </c>
      <c r="N271" s="50">
        <f>N54*Inputs_Summary!P$57/1000</f>
        <v>0</v>
      </c>
      <c r="O271" s="50">
        <f>O54*Inputs_Summary!Q$57/1000</f>
        <v>0</v>
      </c>
      <c r="P271" s="53"/>
      <c r="Q271" s="5">
        <f>G271+N271</f>
        <v>0</v>
      </c>
      <c r="R271" s="5">
        <f>SUM(K271:L271)</f>
        <v>0</v>
      </c>
      <c r="T271" s="5">
        <f>SUM(C271:O271)</f>
        <v>17223.669648640087</v>
      </c>
      <c r="Y271" s="12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</row>
    <row r="272" spans="2:41" x14ac:dyDescent="0.3">
      <c r="C272" s="50">
        <f>C55*Inputs_Summary!E$57/1000</f>
        <v>10214.913144827353</v>
      </c>
      <c r="D272" s="50">
        <f>D55*Inputs_Summary!F$57/1000</f>
        <v>2223.2700700904402</v>
      </c>
      <c r="E272" s="50">
        <f>E55*Inputs_Summary!G$57/1000</f>
        <v>497.71677448890773</v>
      </c>
      <c r="F272" s="50">
        <f>F55*Inputs_Summary!H$57/1000</f>
        <v>4.6526999308161514</v>
      </c>
      <c r="G272" s="50">
        <f>G55*Inputs_Summary!I$57/1000</f>
        <v>0</v>
      </c>
      <c r="H272" s="50">
        <f>H55*Inputs_Summary!J$57/1000</f>
        <v>440.97256010957523</v>
      </c>
      <c r="I272" s="50">
        <f>I55*Inputs_Summary!K$57/1000</f>
        <v>0</v>
      </c>
      <c r="J272" s="50">
        <f>J55*Inputs_Summary!L$57/1000</f>
        <v>795.4101932906683</v>
      </c>
      <c r="K272" s="50">
        <f>K55*Inputs_Summary!M$57/1000</f>
        <v>0</v>
      </c>
      <c r="L272" s="50">
        <f>L55*Inputs_Summary!N$57/1000</f>
        <v>0</v>
      </c>
      <c r="M272" s="50">
        <f>M55*Inputs_Summary!O$57/1000</f>
        <v>0</v>
      </c>
      <c r="N272" s="50">
        <f>N55*Inputs_Summary!P$57/1000</f>
        <v>0</v>
      </c>
      <c r="O272" s="50">
        <f>O55*Inputs_Summary!Q$57/1000</f>
        <v>0</v>
      </c>
      <c r="P272" s="53"/>
      <c r="Q272" s="5">
        <f>G272+N272</f>
        <v>0</v>
      </c>
      <c r="R272" s="5">
        <f>SUM(K272:L272)</f>
        <v>0</v>
      </c>
      <c r="T272" s="5">
        <f>SUM(C272:O272)</f>
        <v>14176.935442737762</v>
      </c>
      <c r="Y272" s="60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</row>
    <row r="273" spans="2:41" x14ac:dyDescent="0.3">
      <c r="B273" s="41"/>
      <c r="Y273" s="12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</row>
    <row r="274" spans="2:41" ht="28.8" x14ac:dyDescent="0.3">
      <c r="B274" s="43" t="s">
        <v>123</v>
      </c>
      <c r="C274" s="43" t="s">
        <v>0</v>
      </c>
      <c r="D274" s="43" t="s">
        <v>1</v>
      </c>
      <c r="E274" s="43" t="s">
        <v>28</v>
      </c>
      <c r="F274" s="2" t="s">
        <v>29</v>
      </c>
      <c r="G274" s="2" t="s">
        <v>6</v>
      </c>
      <c r="H274" s="43" t="s">
        <v>2</v>
      </c>
      <c r="I274" s="43" t="s">
        <v>3</v>
      </c>
      <c r="J274" s="43" t="s">
        <v>4</v>
      </c>
      <c r="K274" s="43" t="s">
        <v>9</v>
      </c>
      <c r="L274" s="43" t="s">
        <v>8</v>
      </c>
      <c r="M274" s="43" t="s">
        <v>25</v>
      </c>
      <c r="N274" s="43" t="s">
        <v>7</v>
      </c>
      <c r="O274" s="43" t="s">
        <v>89</v>
      </c>
      <c r="P274" s="25"/>
      <c r="Q274" s="43" t="s">
        <v>5</v>
      </c>
      <c r="R274" s="43" t="s">
        <v>91</v>
      </c>
      <c r="T274" s="43" t="s">
        <v>10</v>
      </c>
      <c r="Y274" s="12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</row>
    <row r="275" spans="2:41" x14ac:dyDescent="0.3">
      <c r="B275" s="38"/>
      <c r="C275" s="50">
        <f>C251+C257+C263+C269</f>
        <v>74582.550745360451</v>
      </c>
      <c r="D275" s="50">
        <f t="shared" ref="D275:O275" si="115">D251+D257+D263+D269</f>
        <v>1371.1807324929616</v>
      </c>
      <c r="E275" s="50">
        <f t="shared" si="115"/>
        <v>28.730916727553129</v>
      </c>
      <c r="F275" s="50">
        <f t="shared" si="115"/>
        <v>76.923919508130496</v>
      </c>
      <c r="G275" s="50">
        <f t="shared" si="115"/>
        <v>0</v>
      </c>
      <c r="H275" s="50">
        <f t="shared" si="115"/>
        <v>498.7548193729865</v>
      </c>
      <c r="I275" s="50">
        <f t="shared" si="115"/>
        <v>120.01213921636821</v>
      </c>
      <c r="J275" s="50">
        <f t="shared" si="115"/>
        <v>337.80303802891547</v>
      </c>
      <c r="K275" s="50">
        <f t="shared" si="115"/>
        <v>0</v>
      </c>
      <c r="L275" s="50">
        <f t="shared" si="115"/>
        <v>0</v>
      </c>
      <c r="M275" s="50">
        <f t="shared" si="115"/>
        <v>0</v>
      </c>
      <c r="N275" s="50">
        <f t="shared" si="115"/>
        <v>0</v>
      </c>
      <c r="O275" s="50">
        <f t="shared" si="115"/>
        <v>0</v>
      </c>
      <c r="P275" s="53"/>
      <c r="Q275" s="5">
        <f>G275+N275</f>
        <v>0</v>
      </c>
      <c r="R275" s="5">
        <f>SUM(K275:L275)</f>
        <v>0</v>
      </c>
      <c r="T275" s="5">
        <f>SUM(C275:O275)</f>
        <v>77015.956310707377</v>
      </c>
      <c r="Y275" s="12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</row>
    <row r="276" spans="2:41" x14ac:dyDescent="0.3">
      <c r="C276" s="50">
        <f t="shared" ref="C276:O278" si="116">C252+C258+C264+C270</f>
        <v>84601.431224260712</v>
      </c>
      <c r="D276" s="50">
        <f t="shared" si="116"/>
        <v>14073.613803453718</v>
      </c>
      <c r="E276" s="50">
        <f t="shared" si="116"/>
        <v>1755.3742496994405</v>
      </c>
      <c r="F276" s="50">
        <f t="shared" si="116"/>
        <v>2658.2749878920868</v>
      </c>
      <c r="G276" s="50">
        <f t="shared" si="116"/>
        <v>0</v>
      </c>
      <c r="H276" s="50">
        <f t="shared" si="116"/>
        <v>21863.491717310397</v>
      </c>
      <c r="I276" s="50">
        <f t="shared" si="116"/>
        <v>2857.9723199705836</v>
      </c>
      <c r="J276" s="50">
        <f t="shared" si="116"/>
        <v>13805.332805012402</v>
      </c>
      <c r="K276" s="50">
        <f t="shared" si="116"/>
        <v>0</v>
      </c>
      <c r="L276" s="50">
        <f t="shared" si="116"/>
        <v>0</v>
      </c>
      <c r="M276" s="50">
        <f t="shared" si="116"/>
        <v>0</v>
      </c>
      <c r="N276" s="50">
        <f t="shared" si="116"/>
        <v>0</v>
      </c>
      <c r="O276" s="50">
        <f t="shared" si="116"/>
        <v>0</v>
      </c>
      <c r="P276" s="53"/>
      <c r="Q276" s="5">
        <f>G276+N276</f>
        <v>0</v>
      </c>
      <c r="R276" s="5">
        <f>SUM(K276:L276)</f>
        <v>0</v>
      </c>
      <c r="T276" s="5">
        <f>SUM(C276:O276)</f>
        <v>141615.49110759934</v>
      </c>
      <c r="Y276" s="12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</row>
    <row r="277" spans="2:41" x14ac:dyDescent="0.3">
      <c r="C277" s="50">
        <f t="shared" si="116"/>
        <v>67483.568978367344</v>
      </c>
      <c r="D277" s="50">
        <f t="shared" si="116"/>
        <v>45809.173520161108</v>
      </c>
      <c r="E277" s="50">
        <f t="shared" si="116"/>
        <v>11809.651280446968</v>
      </c>
      <c r="F277" s="50">
        <f t="shared" si="116"/>
        <v>4016.8695363637016</v>
      </c>
      <c r="G277" s="50">
        <f t="shared" si="116"/>
        <v>0</v>
      </c>
      <c r="H277" s="50">
        <f t="shared" si="116"/>
        <v>48982.434374358665</v>
      </c>
      <c r="I277" s="50">
        <f t="shared" si="116"/>
        <v>3704.5196895315307</v>
      </c>
      <c r="J277" s="50">
        <f t="shared" si="116"/>
        <v>33878.649710351194</v>
      </c>
      <c r="K277" s="50">
        <f t="shared" si="116"/>
        <v>0</v>
      </c>
      <c r="L277" s="50">
        <f t="shared" si="116"/>
        <v>0</v>
      </c>
      <c r="M277" s="50">
        <f t="shared" si="116"/>
        <v>0</v>
      </c>
      <c r="N277" s="50">
        <f t="shared" si="116"/>
        <v>0</v>
      </c>
      <c r="O277" s="50">
        <f t="shared" si="116"/>
        <v>0</v>
      </c>
      <c r="P277" s="53"/>
      <c r="Q277" s="5">
        <f>G277+N277</f>
        <v>0</v>
      </c>
      <c r="R277" s="5">
        <f>SUM(K277:L277)</f>
        <v>0</v>
      </c>
      <c r="T277" s="5">
        <f>SUM(C277:O277)</f>
        <v>215684.86708958051</v>
      </c>
      <c r="Y277" s="12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</row>
    <row r="278" spans="2:41" x14ac:dyDescent="0.3">
      <c r="C278" s="50">
        <f t="shared" si="116"/>
        <v>56654.390176551118</v>
      </c>
      <c r="D278" s="50">
        <f t="shared" si="116"/>
        <v>77135.063043200906</v>
      </c>
      <c r="E278" s="50">
        <f t="shared" si="116"/>
        <v>21203.326238429752</v>
      </c>
      <c r="F278" s="50">
        <f t="shared" si="116"/>
        <v>5671.6750995618359</v>
      </c>
      <c r="G278" s="50">
        <f t="shared" si="116"/>
        <v>0</v>
      </c>
      <c r="H278" s="50">
        <f t="shared" si="116"/>
        <v>52550.149363396835</v>
      </c>
      <c r="I278" s="50">
        <f t="shared" si="116"/>
        <v>0</v>
      </c>
      <c r="J278" s="50">
        <f t="shared" si="116"/>
        <v>39660.770263400307</v>
      </c>
      <c r="K278" s="50">
        <f t="shared" si="116"/>
        <v>0</v>
      </c>
      <c r="L278" s="50">
        <f t="shared" si="116"/>
        <v>0</v>
      </c>
      <c r="M278" s="50">
        <f t="shared" si="116"/>
        <v>0</v>
      </c>
      <c r="N278" s="50">
        <f t="shared" si="116"/>
        <v>0</v>
      </c>
      <c r="O278" s="50">
        <f t="shared" si="116"/>
        <v>0</v>
      </c>
      <c r="P278" s="53"/>
      <c r="Q278" s="5">
        <f>G278+N278</f>
        <v>0</v>
      </c>
      <c r="R278" s="5">
        <f>SUM(K278:L278)</f>
        <v>0</v>
      </c>
      <c r="T278" s="5">
        <f>SUM(C278:O278)</f>
        <v>252875.37418454076</v>
      </c>
      <c r="Y278" s="60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</row>
    <row r="279" spans="2:41" s="11" customFormat="1" x14ac:dyDescent="0.3"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Q279" s="62"/>
      <c r="R279" s="62"/>
      <c r="S279" s="62"/>
      <c r="T279" s="57"/>
      <c r="U279" s="57"/>
      <c r="V279" s="57"/>
      <c r="W279" s="57"/>
      <c r="X279" s="57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</row>
    <row r="280" spans="2:41" s="11" customFormat="1" x14ac:dyDescent="0.3"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Q280" s="62"/>
      <c r="R280" s="62"/>
      <c r="S280" s="62"/>
      <c r="T280" s="57"/>
      <c r="U280" s="57"/>
      <c r="V280" s="57"/>
      <c r="W280" s="57"/>
      <c r="X280" s="57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</row>
    <row r="281" spans="2:41" s="11" customFormat="1" x14ac:dyDescent="0.3"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</row>
    <row r="282" spans="2:41" s="11" customFormat="1" x14ac:dyDescent="0.3">
      <c r="B282" s="25"/>
      <c r="C282" s="25"/>
      <c r="D282" s="25"/>
      <c r="E282" s="25"/>
      <c r="F282" s="60"/>
      <c r="G282" s="60"/>
      <c r="H282" s="25"/>
      <c r="I282" s="25"/>
      <c r="J282" s="25"/>
      <c r="K282" s="25"/>
      <c r="L282" s="25"/>
      <c r="M282" s="25"/>
      <c r="N282" s="25"/>
      <c r="O282" s="25"/>
      <c r="Q282" s="25"/>
      <c r="R282" s="25"/>
      <c r="S282" s="25"/>
      <c r="T282" s="25"/>
      <c r="U282" s="25"/>
      <c r="V282" s="25"/>
      <c r="X282" s="25"/>
      <c r="Y282" s="60"/>
      <c r="Z282" s="60"/>
      <c r="AA282" s="60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</row>
    <row r="283" spans="2:41" s="11" customFormat="1" x14ac:dyDescent="0.3"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Q283" s="62"/>
      <c r="R283" s="62"/>
      <c r="S283" s="62"/>
      <c r="T283" s="57"/>
      <c r="U283" s="57"/>
      <c r="V283" s="57"/>
      <c r="W283" s="57"/>
      <c r="X283" s="57"/>
      <c r="Y283" s="89"/>
      <c r="Z283" s="89"/>
      <c r="AA283" s="90"/>
      <c r="AB283" s="12"/>
      <c r="AC283" s="8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</row>
    <row r="284" spans="2:41" s="11" customFormat="1" x14ac:dyDescent="0.3"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Q284" s="62"/>
      <c r="R284" s="62"/>
      <c r="S284" s="62"/>
      <c r="T284" s="57"/>
      <c r="U284" s="57"/>
      <c r="V284" s="57"/>
      <c r="W284" s="57"/>
      <c r="X284" s="57"/>
      <c r="Y284" s="89"/>
      <c r="Z284" s="89"/>
      <c r="AA284" s="90"/>
      <c r="AB284" s="12"/>
      <c r="AC284" s="8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</row>
    <row r="285" spans="2:41" s="11" customFormat="1" x14ac:dyDescent="0.3"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Q285" s="62"/>
      <c r="R285" s="62"/>
      <c r="S285" s="62"/>
      <c r="T285" s="57"/>
      <c r="U285" s="57"/>
      <c r="V285" s="57"/>
      <c r="W285" s="57"/>
      <c r="X285" s="57"/>
      <c r="Y285" s="89"/>
      <c r="Z285" s="89"/>
      <c r="AA285" s="90"/>
      <c r="AB285" s="12"/>
      <c r="AC285" s="8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</row>
    <row r="286" spans="2:41" s="11" customFormat="1" x14ac:dyDescent="0.3"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Q286" s="62"/>
      <c r="R286" s="62"/>
      <c r="S286" s="62"/>
      <c r="T286" s="57"/>
      <c r="U286" s="57"/>
      <c r="V286" s="57"/>
      <c r="W286" s="57"/>
      <c r="X286" s="57"/>
      <c r="Y286" s="89"/>
      <c r="Z286" s="89"/>
      <c r="AA286" s="90"/>
      <c r="AB286" s="12"/>
      <c r="AC286" s="8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</row>
    <row r="287" spans="2:41" s="11" customFormat="1" x14ac:dyDescent="0.3"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</row>
    <row r="288" spans="2:41" s="11" customFormat="1" x14ac:dyDescent="0.3"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Q288" s="26"/>
      <c r="R288" s="26"/>
      <c r="S288" s="26"/>
      <c r="T288" s="28"/>
      <c r="U288" s="28"/>
      <c r="V288" s="28"/>
      <c r="X288" s="27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</row>
    <row r="289" spans="2:41" s="11" customFormat="1" x14ac:dyDescent="0.3"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Q289" s="26"/>
      <c r="R289" s="26"/>
      <c r="S289" s="26"/>
      <c r="T289" s="28"/>
      <c r="U289" s="28"/>
      <c r="V289" s="28"/>
      <c r="X289" s="27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</row>
    <row r="290" spans="2:41" s="11" customFormat="1" x14ac:dyDescent="0.3"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Q290" s="26"/>
      <c r="R290" s="26"/>
      <c r="S290" s="26"/>
      <c r="T290" s="28"/>
      <c r="U290" s="28"/>
      <c r="V290" s="28"/>
      <c r="X290" s="27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</row>
    <row r="291" spans="2:41" s="11" customFormat="1" x14ac:dyDescent="0.3"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Q291" s="26"/>
      <c r="R291" s="26"/>
      <c r="S291" s="26"/>
      <c r="T291" s="28"/>
      <c r="U291" s="28"/>
      <c r="V291" s="28"/>
      <c r="X291" s="27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</row>
    <row r="292" spans="2:41" s="11" customFormat="1" x14ac:dyDescent="0.3"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</row>
    <row r="293" spans="2:41" s="58" customFormat="1" ht="21" x14ac:dyDescent="0.4">
      <c r="B293" s="59"/>
      <c r="P293" s="11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</row>
    <row r="294" spans="2:41" s="58" customFormat="1" ht="21" x14ac:dyDescent="0.4">
      <c r="B294" s="59"/>
      <c r="P294" s="11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</row>
    <row r="295" spans="2:41" s="11" customFormat="1" x14ac:dyDescent="0.3">
      <c r="B295" s="3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Q295" s="64"/>
      <c r="R295" s="64"/>
      <c r="S295" s="64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</row>
    <row r="296" spans="2:41" s="11" customFormat="1" x14ac:dyDescent="0.3">
      <c r="B296" s="25"/>
      <c r="C296" s="25"/>
      <c r="D296" s="25"/>
      <c r="E296" s="25"/>
      <c r="F296" s="60"/>
      <c r="G296" s="60"/>
      <c r="H296" s="25"/>
      <c r="I296" s="25"/>
      <c r="J296" s="25"/>
      <c r="K296" s="25"/>
      <c r="L296" s="25"/>
      <c r="M296" s="25"/>
      <c r="N296" s="25"/>
      <c r="O296" s="25"/>
      <c r="Q296" s="25"/>
      <c r="R296" s="25"/>
      <c r="S296" s="25"/>
      <c r="T296" s="25"/>
      <c r="U296" s="25"/>
      <c r="V296" s="25"/>
      <c r="X296" s="25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</row>
    <row r="297" spans="2:41" s="11" customFormat="1" x14ac:dyDescent="0.3"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Q297" s="26"/>
      <c r="R297" s="26"/>
      <c r="S297" s="26"/>
      <c r="T297" s="63"/>
      <c r="U297" s="63"/>
      <c r="V297" s="63"/>
      <c r="W297" s="57"/>
      <c r="X297" s="57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</row>
    <row r="298" spans="2:41" s="11" customFormat="1" x14ac:dyDescent="0.3"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Q298" s="26"/>
      <c r="R298" s="26"/>
      <c r="S298" s="26"/>
      <c r="T298" s="63"/>
      <c r="U298" s="63"/>
      <c r="V298" s="63"/>
      <c r="W298" s="57"/>
      <c r="X298" s="57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</row>
    <row r="299" spans="2:41" s="11" customFormat="1" x14ac:dyDescent="0.3"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Q299" s="26"/>
      <c r="R299" s="26"/>
      <c r="S299" s="26"/>
      <c r="T299" s="63"/>
      <c r="U299" s="63"/>
      <c r="V299" s="63"/>
      <c r="W299" s="57"/>
      <c r="X299" s="57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</row>
    <row r="300" spans="2:41" s="11" customFormat="1" x14ac:dyDescent="0.3"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Q300" s="26"/>
      <c r="R300" s="26"/>
      <c r="S300" s="26"/>
      <c r="T300" s="63"/>
      <c r="U300" s="63"/>
      <c r="V300" s="63"/>
      <c r="W300" s="57"/>
      <c r="X300" s="57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</row>
    <row r="301" spans="2:41" s="11" customFormat="1" x14ac:dyDescent="0.3"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Q301" s="28"/>
      <c r="R301" s="28"/>
      <c r="S301" s="28"/>
      <c r="T301" s="57"/>
      <c r="U301" s="57"/>
      <c r="V301" s="57"/>
      <c r="W301" s="57"/>
      <c r="X301" s="57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</row>
    <row r="302" spans="2:41" s="11" customFormat="1" x14ac:dyDescent="0.3">
      <c r="B302" s="25"/>
      <c r="C302" s="65"/>
      <c r="D302" s="2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Q302" s="25"/>
      <c r="R302" s="65"/>
      <c r="S302" s="65"/>
      <c r="T302" s="25"/>
      <c r="U302" s="25"/>
      <c r="V302" s="25"/>
      <c r="X302" s="25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</row>
    <row r="303" spans="2:41" s="11" customFormat="1" x14ac:dyDescent="0.3"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Q303" s="26"/>
      <c r="R303" s="26"/>
      <c r="S303" s="26"/>
      <c r="T303" s="63"/>
      <c r="U303" s="63"/>
      <c r="V303" s="63"/>
      <c r="W303" s="57"/>
      <c r="X303" s="57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</row>
    <row r="304" spans="2:41" s="11" customFormat="1" x14ac:dyDescent="0.3"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Q304" s="26"/>
      <c r="R304" s="26"/>
      <c r="S304" s="26"/>
      <c r="T304" s="63"/>
      <c r="U304" s="63"/>
      <c r="V304" s="63"/>
      <c r="W304" s="57"/>
      <c r="X304" s="57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</row>
    <row r="305" spans="2:41" s="11" customFormat="1" x14ac:dyDescent="0.3"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Q305" s="26"/>
      <c r="R305" s="26"/>
      <c r="S305" s="26"/>
      <c r="T305" s="63"/>
      <c r="U305" s="63"/>
      <c r="V305" s="63"/>
      <c r="W305" s="57"/>
      <c r="X305" s="57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</row>
    <row r="306" spans="2:41" s="11" customFormat="1" x14ac:dyDescent="0.3"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Q306" s="26"/>
      <c r="R306" s="26"/>
      <c r="S306" s="26"/>
      <c r="T306" s="63"/>
      <c r="U306" s="63"/>
      <c r="V306" s="63"/>
      <c r="W306" s="57"/>
      <c r="X306" s="57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</row>
    <row r="307" spans="2:41" s="11" customFormat="1" x14ac:dyDescent="0.3"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Q307" s="28"/>
      <c r="R307" s="28"/>
      <c r="S307" s="28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</row>
    <row r="308" spans="2:41" s="11" customFormat="1" x14ac:dyDescent="0.3">
      <c r="B308" s="25"/>
      <c r="C308" s="65"/>
      <c r="D308" s="2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Q308" s="25"/>
      <c r="R308" s="65"/>
      <c r="S308" s="65"/>
      <c r="T308" s="25"/>
      <c r="U308" s="25"/>
      <c r="V308" s="25"/>
      <c r="X308" s="25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</row>
    <row r="309" spans="2:41" s="11" customFormat="1" x14ac:dyDescent="0.3"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Q309" s="26"/>
      <c r="R309" s="26"/>
      <c r="S309" s="26"/>
      <c r="T309" s="63"/>
      <c r="U309" s="63"/>
      <c r="V309" s="63"/>
      <c r="W309" s="57"/>
      <c r="X309" s="57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</row>
    <row r="310" spans="2:41" s="11" customFormat="1" x14ac:dyDescent="0.3"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Q310" s="26"/>
      <c r="R310" s="26"/>
      <c r="S310" s="26"/>
      <c r="T310" s="63"/>
      <c r="U310" s="63"/>
      <c r="V310" s="63"/>
      <c r="W310" s="57"/>
      <c r="X310" s="57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</row>
    <row r="311" spans="2:41" s="11" customFormat="1" x14ac:dyDescent="0.3"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Q311" s="26"/>
      <c r="R311" s="26"/>
      <c r="S311" s="26"/>
      <c r="T311" s="63"/>
      <c r="U311" s="63"/>
      <c r="V311" s="63"/>
      <c r="W311" s="57"/>
      <c r="X311" s="57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</row>
    <row r="312" spans="2:41" s="11" customFormat="1" x14ac:dyDescent="0.3"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Q312" s="26"/>
      <c r="R312" s="26"/>
      <c r="S312" s="26"/>
      <c r="T312" s="63"/>
      <c r="U312" s="63"/>
      <c r="V312" s="63"/>
      <c r="W312" s="57"/>
      <c r="X312" s="57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</row>
    <row r="313" spans="2:41" s="11" customFormat="1" x14ac:dyDescent="0.3"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Q313" s="28"/>
      <c r="R313" s="28"/>
      <c r="S313" s="28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</row>
    <row r="314" spans="2:41" s="11" customFormat="1" x14ac:dyDescent="0.3">
      <c r="C314" s="12"/>
      <c r="D314" s="12"/>
      <c r="E314" s="14"/>
      <c r="F314" s="14"/>
      <c r="G314" s="14"/>
      <c r="H314" s="16"/>
      <c r="I314" s="14"/>
      <c r="J314" s="14"/>
      <c r="K314" s="16"/>
      <c r="L314" s="14"/>
      <c r="M314" s="16"/>
      <c r="N314" s="20"/>
      <c r="O314" s="20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</row>
    <row r="315" spans="2:41" s="58" customFormat="1" ht="21" x14ac:dyDescent="0.4">
      <c r="B315" s="59"/>
      <c r="P315" s="11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</row>
    <row r="316" spans="2:41" s="58" customFormat="1" ht="21" x14ac:dyDescent="0.4">
      <c r="B316" s="59"/>
      <c r="P316" s="11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</row>
    <row r="317" spans="2:41" s="58" customFormat="1" x14ac:dyDescent="0.3">
      <c r="B317" s="67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11"/>
      <c r="Q317" s="62"/>
      <c r="R317" s="62"/>
      <c r="S317" s="61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</row>
    <row r="318" spans="2:41" s="11" customFormat="1" x14ac:dyDescent="0.3">
      <c r="B318" s="25"/>
      <c r="C318" s="25"/>
      <c r="D318" s="25"/>
      <c r="E318" s="25"/>
      <c r="F318" s="60"/>
      <c r="G318" s="60"/>
      <c r="H318" s="25"/>
      <c r="I318" s="25"/>
      <c r="J318" s="25"/>
      <c r="K318" s="25"/>
      <c r="L318" s="25"/>
      <c r="M318" s="25"/>
      <c r="N318" s="25"/>
      <c r="O318" s="25"/>
      <c r="Q318" s="25"/>
      <c r="R318" s="25"/>
      <c r="S318" s="25"/>
      <c r="T318" s="25"/>
      <c r="U318" s="25"/>
      <c r="V318" s="25"/>
      <c r="X318" s="25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</row>
    <row r="319" spans="2:41" s="11" customFormat="1" x14ac:dyDescent="0.3"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Q319" s="62"/>
      <c r="R319" s="62"/>
      <c r="S319" s="62"/>
      <c r="T319" s="57"/>
      <c r="U319" s="57"/>
      <c r="V319" s="57"/>
      <c r="W319" s="57"/>
      <c r="X319" s="57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</row>
    <row r="320" spans="2:41" s="11" customFormat="1" x14ac:dyDescent="0.3"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Q320" s="62"/>
      <c r="R320" s="62"/>
      <c r="S320" s="62"/>
      <c r="T320" s="57"/>
      <c r="U320" s="57"/>
      <c r="V320" s="57"/>
      <c r="W320" s="57"/>
      <c r="X320" s="57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</row>
    <row r="321" spans="2:41" s="11" customFormat="1" x14ac:dyDescent="0.3"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Q321" s="62"/>
      <c r="R321" s="62"/>
      <c r="S321" s="62"/>
      <c r="T321" s="57"/>
      <c r="U321" s="57"/>
      <c r="V321" s="57"/>
      <c r="W321" s="57"/>
      <c r="X321" s="57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</row>
    <row r="322" spans="2:41" s="11" customFormat="1" x14ac:dyDescent="0.3"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Q322" s="62"/>
      <c r="R322" s="62"/>
      <c r="S322" s="62"/>
      <c r="T322" s="57"/>
      <c r="U322" s="57"/>
      <c r="V322" s="57"/>
      <c r="W322" s="57"/>
      <c r="X322" s="57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</row>
    <row r="323" spans="2:41" s="11" customFormat="1" x14ac:dyDescent="0.3">
      <c r="T323" s="57"/>
      <c r="U323" s="57"/>
      <c r="V323" s="57"/>
      <c r="W323" s="57"/>
      <c r="X323" s="57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</row>
    <row r="324" spans="2:41" s="11" customFormat="1" x14ac:dyDescent="0.3">
      <c r="B324" s="25"/>
      <c r="C324" s="25"/>
      <c r="D324" s="25"/>
      <c r="E324" s="25"/>
      <c r="F324" s="60"/>
      <c r="G324" s="60"/>
      <c r="H324" s="25"/>
      <c r="I324" s="25"/>
      <c r="J324" s="25"/>
      <c r="K324" s="25"/>
      <c r="L324" s="25"/>
      <c r="M324" s="25"/>
      <c r="N324" s="25"/>
      <c r="O324" s="25"/>
      <c r="Q324" s="25"/>
      <c r="R324" s="25"/>
      <c r="S324" s="25"/>
      <c r="T324" s="25"/>
      <c r="U324" s="25"/>
      <c r="V324" s="25"/>
      <c r="X324" s="25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</row>
    <row r="325" spans="2:41" s="11" customFormat="1" x14ac:dyDescent="0.3"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Q325" s="62"/>
      <c r="R325" s="62"/>
      <c r="S325" s="62"/>
      <c r="T325" s="57"/>
      <c r="U325" s="57"/>
      <c r="V325" s="57"/>
      <c r="W325" s="57"/>
      <c r="X325" s="57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</row>
    <row r="326" spans="2:41" s="11" customFormat="1" x14ac:dyDescent="0.3"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Q326" s="62"/>
      <c r="R326" s="62"/>
      <c r="S326" s="62"/>
      <c r="T326" s="57"/>
      <c r="U326" s="57"/>
      <c r="V326" s="57"/>
      <c r="W326" s="57"/>
      <c r="X326" s="57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</row>
    <row r="327" spans="2:41" s="11" customFormat="1" x14ac:dyDescent="0.3"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Q327" s="62"/>
      <c r="R327" s="62"/>
      <c r="S327" s="62"/>
      <c r="T327" s="57"/>
      <c r="U327" s="57"/>
      <c r="V327" s="57"/>
      <c r="W327" s="57"/>
      <c r="X327" s="57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</row>
    <row r="328" spans="2:41" s="11" customFormat="1" x14ac:dyDescent="0.3"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Q328" s="62"/>
      <c r="R328" s="62"/>
      <c r="S328" s="62"/>
      <c r="T328" s="57"/>
      <c r="U328" s="57"/>
      <c r="V328" s="57"/>
      <c r="W328" s="57"/>
      <c r="X328" s="57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</row>
    <row r="329" spans="2:41" s="11" customFormat="1" x14ac:dyDescent="0.3"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</row>
    <row r="330" spans="2:41" s="11" customFormat="1" x14ac:dyDescent="0.3">
      <c r="B330" s="25"/>
      <c r="C330" s="25"/>
      <c r="D330" s="25"/>
      <c r="E330" s="25"/>
      <c r="F330" s="60"/>
      <c r="G330" s="60"/>
      <c r="H330" s="25"/>
      <c r="I330" s="25"/>
      <c r="J330" s="25"/>
      <c r="K330" s="25"/>
      <c r="L330" s="25"/>
      <c r="M330" s="25"/>
      <c r="N330" s="25"/>
      <c r="O330" s="25"/>
      <c r="Q330" s="25"/>
      <c r="R330" s="25"/>
      <c r="S330" s="25"/>
      <c r="T330" s="25"/>
      <c r="U330" s="25"/>
      <c r="V330" s="25"/>
      <c r="X330" s="25"/>
      <c r="Y330" s="60"/>
      <c r="Z330" s="60"/>
      <c r="AA330" s="60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</row>
    <row r="331" spans="2:41" s="11" customFormat="1" x14ac:dyDescent="0.3"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Q331" s="62"/>
      <c r="R331" s="62"/>
      <c r="S331" s="62"/>
      <c r="T331" s="57"/>
      <c r="U331" s="57"/>
      <c r="V331" s="57"/>
      <c r="W331" s="57"/>
      <c r="X331" s="57"/>
      <c r="Y331" s="56"/>
      <c r="Z331" s="89"/>
      <c r="AA331" s="90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</row>
    <row r="332" spans="2:41" s="11" customFormat="1" x14ac:dyDescent="0.3"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Q332" s="62"/>
      <c r="R332" s="62"/>
      <c r="S332" s="62"/>
      <c r="T332" s="57"/>
      <c r="U332" s="57"/>
      <c r="V332" s="57"/>
      <c r="W332" s="57"/>
      <c r="X332" s="57"/>
      <c r="Y332" s="56"/>
      <c r="Z332" s="89"/>
      <c r="AA332" s="90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</row>
    <row r="333" spans="2:41" s="11" customFormat="1" x14ac:dyDescent="0.3"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Q333" s="62"/>
      <c r="R333" s="62"/>
      <c r="S333" s="62"/>
      <c r="T333" s="57"/>
      <c r="U333" s="57"/>
      <c r="V333" s="57"/>
      <c r="W333" s="57"/>
      <c r="X333" s="57"/>
      <c r="Y333" s="56"/>
      <c r="Z333" s="89"/>
      <c r="AA333" s="90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</row>
    <row r="334" spans="2:41" s="11" customFormat="1" x14ac:dyDescent="0.3"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Q334" s="62"/>
      <c r="R334" s="62"/>
      <c r="S334" s="62"/>
      <c r="T334" s="57"/>
      <c r="U334" s="57"/>
      <c r="V334" s="57"/>
      <c r="W334" s="57"/>
      <c r="X334" s="57"/>
      <c r="Y334" s="56"/>
      <c r="Z334" s="89"/>
      <c r="AA334" s="90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</row>
    <row r="335" spans="2:41" s="11" customFormat="1" x14ac:dyDescent="0.3"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</row>
    <row r="336" spans="2:41" s="11" customFormat="1" x14ac:dyDescent="0.3"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Q336" s="29"/>
      <c r="R336" s="29"/>
      <c r="S336" s="29"/>
      <c r="T336" s="28"/>
      <c r="U336" s="28"/>
      <c r="V336" s="28"/>
      <c r="X336" s="27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</row>
    <row r="337" spans="2:41" s="11" customFormat="1" x14ac:dyDescent="0.3"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Q337" s="29"/>
      <c r="R337" s="29"/>
      <c r="S337" s="29"/>
      <c r="T337" s="28"/>
      <c r="U337" s="28"/>
      <c r="V337" s="28"/>
      <c r="X337" s="27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</row>
    <row r="338" spans="2:41" s="11" customFormat="1" x14ac:dyDescent="0.3"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Q338" s="29"/>
      <c r="R338" s="29"/>
      <c r="S338" s="29"/>
      <c r="T338" s="28"/>
      <c r="U338" s="28"/>
      <c r="V338" s="28"/>
      <c r="X338" s="27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</row>
    <row r="339" spans="2:41" s="11" customFormat="1" x14ac:dyDescent="0.3"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Q339" s="29"/>
      <c r="R339" s="29"/>
      <c r="S339" s="29"/>
      <c r="T339" s="28"/>
      <c r="U339" s="28"/>
      <c r="V339" s="28"/>
      <c r="X339" s="27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</row>
    <row r="340" spans="2:41" s="11" customFormat="1" x14ac:dyDescent="0.3"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Q340" s="29"/>
      <c r="R340" s="29"/>
      <c r="S340" s="29"/>
      <c r="T340" s="28"/>
      <c r="U340" s="28"/>
      <c r="V340" s="28"/>
      <c r="X340" s="27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</row>
    <row r="341" spans="2:41" s="58" customFormat="1" ht="21" x14ac:dyDescent="0.4">
      <c r="B341" s="59"/>
      <c r="P341" s="11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</row>
    <row r="342" spans="2:41" s="58" customFormat="1" ht="21" x14ac:dyDescent="0.4">
      <c r="B342" s="59"/>
      <c r="P342" s="11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</row>
    <row r="343" spans="2:41" s="58" customFormat="1" ht="15.75" customHeight="1" x14ac:dyDescent="0.3">
      <c r="B343" s="67"/>
      <c r="C343" s="62"/>
      <c r="D343" s="56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11"/>
      <c r="Q343" s="62"/>
      <c r="R343" s="62"/>
      <c r="S343" s="61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</row>
    <row r="344" spans="2:41" s="58" customFormat="1" x14ac:dyDescent="0.3">
      <c r="B344" s="67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11"/>
      <c r="Q344" s="62"/>
      <c r="R344" s="62"/>
      <c r="S344" s="61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</row>
    <row r="345" spans="2:41" s="58" customFormat="1" x14ac:dyDescent="0.3">
      <c r="B345" s="67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11"/>
      <c r="Q345" s="53"/>
      <c r="R345" s="53"/>
      <c r="S345" s="53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</row>
    <row r="346" spans="2:41" s="11" customFormat="1" x14ac:dyDescent="0.3">
      <c r="B346" s="25"/>
      <c r="C346" s="25"/>
      <c r="D346" s="25"/>
      <c r="E346" s="25"/>
      <c r="F346" s="60"/>
      <c r="G346" s="60"/>
      <c r="H346" s="25"/>
      <c r="I346" s="25"/>
      <c r="J346" s="25"/>
      <c r="K346" s="25"/>
      <c r="L346" s="25"/>
      <c r="M346" s="25"/>
      <c r="N346" s="25"/>
      <c r="O346" s="25"/>
      <c r="Q346" s="25"/>
      <c r="R346" s="25"/>
      <c r="S346" s="25"/>
      <c r="T346" s="25"/>
      <c r="U346" s="25"/>
      <c r="V346" s="25"/>
      <c r="X346" s="25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</row>
    <row r="347" spans="2:41" s="11" customFormat="1" x14ac:dyDescent="0.3"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Q347" s="62"/>
      <c r="R347" s="62"/>
      <c r="S347" s="62"/>
      <c r="T347" s="57"/>
      <c r="U347" s="57"/>
      <c r="V347" s="57"/>
      <c r="W347" s="57"/>
      <c r="X347" s="57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</row>
    <row r="348" spans="2:41" s="11" customFormat="1" x14ac:dyDescent="0.3"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Q348" s="62"/>
      <c r="R348" s="62"/>
      <c r="S348" s="62"/>
      <c r="T348" s="57"/>
      <c r="U348" s="57"/>
      <c r="V348" s="57"/>
      <c r="W348" s="57"/>
      <c r="X348" s="57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</row>
    <row r="349" spans="2:41" s="11" customFormat="1" x14ac:dyDescent="0.3"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Q349" s="62"/>
      <c r="R349" s="62"/>
      <c r="S349" s="62"/>
      <c r="T349" s="57"/>
      <c r="U349" s="57"/>
      <c r="V349" s="57"/>
      <c r="W349" s="57"/>
      <c r="X349" s="57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</row>
    <row r="350" spans="2:41" s="11" customFormat="1" x14ac:dyDescent="0.3"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Q350" s="62"/>
      <c r="R350" s="62"/>
      <c r="S350" s="62"/>
      <c r="T350" s="57"/>
      <c r="U350" s="57"/>
      <c r="V350" s="57"/>
      <c r="W350" s="57"/>
      <c r="X350" s="57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</row>
    <row r="351" spans="2:41" s="11" customFormat="1" x14ac:dyDescent="0.3"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Q351" s="69"/>
      <c r="R351" s="69"/>
      <c r="S351" s="69"/>
      <c r="T351" s="57"/>
      <c r="U351" s="57"/>
      <c r="V351" s="57"/>
      <c r="W351" s="57"/>
      <c r="X351" s="57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</row>
    <row r="352" spans="2:41" s="11" customFormat="1" x14ac:dyDescent="0.3">
      <c r="T352" s="57"/>
      <c r="U352" s="57"/>
      <c r="V352" s="57"/>
      <c r="W352" s="57"/>
      <c r="X352" s="57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</row>
    <row r="353" spans="2:41" s="11" customFormat="1" x14ac:dyDescent="0.3">
      <c r="B353" s="67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Q353" s="56"/>
      <c r="R353" s="56"/>
      <c r="S353" s="56"/>
      <c r="T353" s="57"/>
      <c r="U353" s="57"/>
      <c r="V353" s="57"/>
      <c r="W353" s="57"/>
      <c r="X353" s="57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</row>
    <row r="354" spans="2:41" s="11" customFormat="1" x14ac:dyDescent="0.3"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Q354" s="56"/>
      <c r="R354" s="56"/>
      <c r="S354" s="56"/>
      <c r="T354" s="57"/>
      <c r="U354" s="57"/>
      <c r="V354" s="57"/>
      <c r="W354" s="57"/>
      <c r="X354" s="57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</row>
    <row r="355" spans="2:41" s="11" customFormat="1" x14ac:dyDescent="0.3"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Q355" s="56"/>
      <c r="R355" s="56"/>
      <c r="S355" s="56"/>
      <c r="T355" s="57"/>
      <c r="U355" s="57"/>
      <c r="V355" s="57"/>
      <c r="W355" s="57"/>
      <c r="X355" s="57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</row>
    <row r="356" spans="2:41" s="11" customFormat="1" x14ac:dyDescent="0.3"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Q356" s="56"/>
      <c r="R356" s="56"/>
      <c r="S356" s="56"/>
      <c r="T356" s="57"/>
      <c r="U356" s="57"/>
      <c r="V356" s="57"/>
      <c r="W356" s="57"/>
      <c r="X356" s="57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</row>
    <row r="357" spans="2:41" s="58" customFormat="1" x14ac:dyDescent="0.3">
      <c r="B357" s="67"/>
      <c r="C357" s="62"/>
      <c r="D357" s="62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11"/>
      <c r="Q357" s="56"/>
      <c r="R357" s="56"/>
      <c r="S357" s="56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</row>
    <row r="358" spans="2:41" s="58" customFormat="1" x14ac:dyDescent="0.3">
      <c r="B358" s="11"/>
      <c r="C358" s="62"/>
      <c r="D358" s="62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11"/>
      <c r="Q358" s="56"/>
      <c r="R358" s="56"/>
      <c r="S358" s="56"/>
      <c r="T358" s="57"/>
      <c r="U358" s="57"/>
      <c r="V358" s="57"/>
      <c r="W358" s="57"/>
      <c r="X358" s="57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</row>
    <row r="359" spans="2:41" s="58" customFormat="1" x14ac:dyDescent="0.3">
      <c r="B359" s="11"/>
      <c r="C359" s="62"/>
      <c r="D359" s="62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11"/>
      <c r="Q359" s="56"/>
      <c r="R359" s="56"/>
      <c r="S359" s="56"/>
      <c r="T359" s="57"/>
      <c r="U359" s="57"/>
      <c r="V359" s="57"/>
      <c r="W359" s="57"/>
      <c r="X359" s="57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</row>
    <row r="360" spans="2:41" s="58" customFormat="1" x14ac:dyDescent="0.3">
      <c r="B360" s="11"/>
      <c r="C360" s="62"/>
      <c r="D360" s="62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11"/>
      <c r="Q360" s="56"/>
      <c r="R360" s="56"/>
      <c r="S360" s="56"/>
      <c r="T360" s="57"/>
      <c r="U360" s="57"/>
      <c r="V360" s="57"/>
      <c r="W360" s="57"/>
      <c r="X360" s="57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</row>
    <row r="361" spans="2:41" s="58" customFormat="1" x14ac:dyDescent="0.3">
      <c r="B361" s="67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11"/>
      <c r="Q361" s="70"/>
      <c r="R361" s="70"/>
      <c r="S361" s="70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</row>
    <row r="362" spans="2:41" s="58" customFormat="1" x14ac:dyDescent="0.3">
      <c r="B362" s="11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11"/>
      <c r="Q362" s="70"/>
      <c r="R362" s="70"/>
      <c r="S362" s="70"/>
      <c r="T362" s="57"/>
      <c r="U362" s="57"/>
      <c r="V362" s="57"/>
      <c r="W362" s="57"/>
      <c r="X362" s="57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</row>
    <row r="363" spans="2:41" s="58" customFormat="1" x14ac:dyDescent="0.3">
      <c r="B363" s="11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11"/>
      <c r="Q363" s="70"/>
      <c r="R363" s="70"/>
      <c r="S363" s="70"/>
      <c r="T363" s="57"/>
      <c r="U363" s="57"/>
      <c r="V363" s="57"/>
      <c r="W363" s="57"/>
      <c r="X363" s="57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</row>
    <row r="364" spans="2:41" s="58" customFormat="1" x14ac:dyDescent="0.3">
      <c r="B364" s="11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11"/>
      <c r="Q364" s="70"/>
      <c r="R364" s="70"/>
      <c r="S364" s="70"/>
      <c r="T364" s="57"/>
      <c r="U364" s="57"/>
      <c r="V364" s="57"/>
      <c r="W364" s="57"/>
      <c r="X364" s="57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</row>
    <row r="365" spans="2:41" s="11" customFormat="1" x14ac:dyDescent="0.3">
      <c r="B365" s="25"/>
      <c r="C365" s="25"/>
      <c r="D365" s="25"/>
      <c r="E365" s="25"/>
      <c r="F365" s="60"/>
      <c r="G365" s="60"/>
      <c r="H365" s="25"/>
      <c r="I365" s="25"/>
      <c r="J365" s="25"/>
      <c r="K365" s="25"/>
      <c r="L365" s="25"/>
      <c r="M365" s="25"/>
      <c r="N365" s="25"/>
      <c r="O365" s="25"/>
      <c r="Q365" s="25"/>
      <c r="R365" s="25"/>
      <c r="S365" s="25"/>
      <c r="T365" s="25"/>
      <c r="U365" s="25"/>
      <c r="V365" s="25"/>
      <c r="X365" s="25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</row>
    <row r="366" spans="2:41" s="11" customFormat="1" x14ac:dyDescent="0.3"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Q366" s="62"/>
      <c r="R366" s="62"/>
      <c r="S366" s="62"/>
      <c r="T366" s="57"/>
      <c r="U366" s="57"/>
      <c r="V366" s="57"/>
      <c r="W366" s="57"/>
      <c r="X366" s="57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</row>
    <row r="367" spans="2:41" s="11" customFormat="1" x14ac:dyDescent="0.3"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Q367" s="62"/>
      <c r="R367" s="62"/>
      <c r="S367" s="62"/>
      <c r="T367" s="57"/>
      <c r="U367" s="57"/>
      <c r="V367" s="57"/>
      <c r="W367" s="57"/>
      <c r="X367" s="57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</row>
    <row r="368" spans="2:41" s="11" customFormat="1" x14ac:dyDescent="0.3"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Q368" s="62"/>
      <c r="R368" s="62"/>
      <c r="S368" s="62"/>
      <c r="T368" s="57"/>
      <c r="U368" s="57"/>
      <c r="V368" s="57"/>
      <c r="W368" s="57"/>
      <c r="X368" s="57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</row>
    <row r="369" spans="2:41" s="11" customFormat="1" x14ac:dyDescent="0.3"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Q369" s="62"/>
      <c r="R369" s="62"/>
      <c r="S369" s="62"/>
      <c r="T369" s="57"/>
      <c r="U369" s="57"/>
      <c r="V369" s="57"/>
      <c r="W369" s="57"/>
      <c r="X369" s="57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</row>
    <row r="370" spans="2:41" s="11" customFormat="1" x14ac:dyDescent="0.3"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Q370" s="69"/>
      <c r="R370" s="69"/>
      <c r="S370" s="69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</row>
    <row r="371" spans="2:41" s="11" customFormat="1" x14ac:dyDescent="0.3">
      <c r="B371" s="25"/>
      <c r="C371" s="25"/>
      <c r="D371" s="25"/>
      <c r="E371" s="25"/>
      <c r="F371" s="60"/>
      <c r="G371" s="60"/>
      <c r="H371" s="25"/>
      <c r="I371" s="25"/>
      <c r="J371" s="25"/>
      <c r="K371" s="25"/>
      <c r="L371" s="25"/>
      <c r="M371" s="25"/>
      <c r="N371" s="25"/>
      <c r="O371" s="25"/>
      <c r="Q371" s="25"/>
      <c r="R371" s="25"/>
      <c r="S371" s="25"/>
      <c r="T371" s="25"/>
      <c r="U371" s="25"/>
      <c r="V371" s="25"/>
      <c r="X371" s="25"/>
      <c r="Y371" s="60"/>
      <c r="Z371" s="60"/>
      <c r="AA371" s="60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</row>
    <row r="372" spans="2:41" s="11" customFormat="1" x14ac:dyDescent="0.3"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Q372" s="62"/>
      <c r="R372" s="62"/>
      <c r="S372" s="62"/>
      <c r="T372" s="57"/>
      <c r="U372" s="57"/>
      <c r="V372" s="57"/>
      <c r="W372" s="57"/>
      <c r="X372" s="71"/>
      <c r="Y372" s="56"/>
      <c r="Z372" s="12"/>
      <c r="AA372" s="90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</row>
    <row r="373" spans="2:41" s="11" customFormat="1" x14ac:dyDescent="0.3"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Q373" s="62"/>
      <c r="R373" s="62"/>
      <c r="S373" s="62"/>
      <c r="T373" s="57"/>
      <c r="U373" s="57"/>
      <c r="V373" s="57"/>
      <c r="W373" s="57"/>
      <c r="X373" s="71"/>
      <c r="Y373" s="56"/>
      <c r="Z373" s="12"/>
      <c r="AA373" s="90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</row>
    <row r="374" spans="2:41" s="11" customFormat="1" x14ac:dyDescent="0.3"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Q374" s="62"/>
      <c r="R374" s="62"/>
      <c r="S374" s="62"/>
      <c r="T374" s="57"/>
      <c r="U374" s="57"/>
      <c r="V374" s="57"/>
      <c r="W374" s="57"/>
      <c r="X374" s="71"/>
      <c r="Y374" s="56"/>
      <c r="Z374" s="12"/>
      <c r="AA374" s="90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</row>
    <row r="375" spans="2:41" s="11" customFormat="1" x14ac:dyDescent="0.3"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Q375" s="62"/>
      <c r="R375" s="62"/>
      <c r="S375" s="62"/>
      <c r="T375" s="57"/>
      <c r="U375" s="57"/>
      <c r="V375" s="57"/>
      <c r="W375" s="57"/>
      <c r="X375" s="71"/>
      <c r="Y375" s="56"/>
      <c r="Z375" s="12"/>
      <c r="AA375" s="90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</row>
    <row r="376" spans="2:41" s="11" customFormat="1" x14ac:dyDescent="0.3"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</row>
    <row r="377" spans="2:41" s="11" customFormat="1" x14ac:dyDescent="0.3"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Q377" s="29"/>
      <c r="R377" s="29"/>
      <c r="S377" s="29"/>
      <c r="T377" s="28"/>
      <c r="U377" s="28"/>
      <c r="V377" s="28"/>
      <c r="X377" s="27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</row>
    <row r="378" spans="2:41" s="11" customFormat="1" x14ac:dyDescent="0.3"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Q378" s="29"/>
      <c r="R378" s="29"/>
      <c r="S378" s="29"/>
      <c r="T378" s="28"/>
      <c r="U378" s="28"/>
      <c r="V378" s="28"/>
      <c r="X378" s="27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</row>
    <row r="379" spans="2:41" s="11" customFormat="1" x14ac:dyDescent="0.3"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Q379" s="29"/>
      <c r="R379" s="29"/>
      <c r="S379" s="29"/>
      <c r="T379" s="28"/>
      <c r="U379" s="28"/>
      <c r="V379" s="28"/>
      <c r="X379" s="27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</row>
    <row r="380" spans="2:41" s="11" customFormat="1" x14ac:dyDescent="0.3"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Q380" s="29"/>
      <c r="R380" s="29"/>
      <c r="S380" s="29"/>
      <c r="T380" s="28"/>
      <c r="U380" s="28"/>
      <c r="V380" s="28"/>
      <c r="X380" s="27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</row>
    <row r="381" spans="2:41" s="11" customFormat="1" x14ac:dyDescent="0.3"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</row>
    <row r="382" spans="2:41" s="11" customFormat="1" x14ac:dyDescent="0.3">
      <c r="B382" s="34"/>
      <c r="C382" s="25"/>
      <c r="D382" s="25"/>
      <c r="E382" s="25"/>
      <c r="F382" s="60"/>
      <c r="G382" s="60"/>
      <c r="H382" s="25"/>
      <c r="I382" s="25"/>
      <c r="J382" s="25"/>
      <c r="K382" s="25"/>
      <c r="L382" s="25"/>
      <c r="M382" s="25"/>
      <c r="N382" s="25"/>
      <c r="O382" s="25"/>
      <c r="Q382" s="25"/>
      <c r="R382" s="25"/>
      <c r="S382" s="25"/>
      <c r="T382" s="25"/>
      <c r="U382" s="25"/>
      <c r="V382" s="25"/>
      <c r="X382" s="54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</row>
    <row r="383" spans="2:41" s="11" customFormat="1" x14ac:dyDescent="0.3"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Q383" s="53"/>
      <c r="R383" s="53"/>
      <c r="S383" s="53"/>
      <c r="X383" s="54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</row>
    <row r="384" spans="2:41" s="11" customFormat="1" x14ac:dyDescent="0.3"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Q384" s="53"/>
      <c r="R384" s="53"/>
      <c r="S384" s="53"/>
      <c r="X384" s="54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</row>
    <row r="385" spans="2:41" s="11" customFormat="1" x14ac:dyDescent="0.3"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Q385" s="53"/>
      <c r="R385" s="53"/>
      <c r="S385" s="53"/>
      <c r="X385" s="54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</row>
    <row r="386" spans="2:41" s="11" customFormat="1" x14ac:dyDescent="0.3"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Q386" s="53"/>
      <c r="R386" s="53"/>
      <c r="S386" s="53"/>
      <c r="X386" s="54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</row>
    <row r="387" spans="2:41" s="11" customFormat="1" x14ac:dyDescent="0.3">
      <c r="B387" s="34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</row>
    <row r="388" spans="2:41" s="11" customFormat="1" x14ac:dyDescent="0.3">
      <c r="B388" s="34"/>
      <c r="X388" s="54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</row>
    <row r="389" spans="2:41" s="11" customFormat="1" x14ac:dyDescent="0.3"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Q389" s="53"/>
      <c r="R389" s="53"/>
      <c r="S389" s="53"/>
      <c r="X389" s="54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</row>
    <row r="390" spans="2:41" s="11" customFormat="1" x14ac:dyDescent="0.3"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Q390" s="53"/>
      <c r="R390" s="53"/>
      <c r="S390" s="53"/>
      <c r="X390" s="54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</row>
    <row r="391" spans="2:41" s="11" customFormat="1" x14ac:dyDescent="0.3"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Q391" s="53"/>
      <c r="R391" s="53"/>
      <c r="S391" s="53"/>
      <c r="X391" s="54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</row>
    <row r="392" spans="2:41" s="11" customFormat="1" x14ac:dyDescent="0.3"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Q392" s="53"/>
      <c r="R392" s="53"/>
      <c r="S392" s="53"/>
      <c r="X392" s="54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</row>
    <row r="393" spans="2:41" s="11" customFormat="1" x14ac:dyDescent="0.3">
      <c r="B393" s="34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</row>
    <row r="394" spans="2:41" s="11" customFormat="1" x14ac:dyDescent="0.3">
      <c r="B394" s="34"/>
      <c r="Y394" s="56"/>
      <c r="Z394" s="56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</row>
    <row r="395" spans="2:41" s="11" customFormat="1" x14ac:dyDescent="0.3"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Q395" s="53"/>
      <c r="R395" s="53"/>
      <c r="S395" s="53"/>
      <c r="X395" s="73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</row>
    <row r="396" spans="2:41" s="11" customFormat="1" x14ac:dyDescent="0.3"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Q396" s="53"/>
      <c r="R396" s="53"/>
      <c r="S396" s="53"/>
      <c r="X396" s="73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</row>
    <row r="397" spans="2:41" s="11" customFormat="1" x14ac:dyDescent="0.3"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Q397" s="53"/>
      <c r="R397" s="53"/>
      <c r="S397" s="53"/>
      <c r="X397" s="73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</row>
    <row r="398" spans="2:41" s="11" customFormat="1" x14ac:dyDescent="0.3"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Q398" s="53"/>
      <c r="R398" s="53"/>
      <c r="S398" s="53"/>
      <c r="X398" s="73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</row>
    <row r="399" spans="2:41" s="11" customFormat="1" x14ac:dyDescent="0.3"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</row>
    <row r="400" spans="2:41" s="11" customFormat="1" x14ac:dyDescent="0.3"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</row>
    <row r="401" spans="25:41" s="11" customFormat="1" x14ac:dyDescent="0.3"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</row>
    <row r="402" spans="25:41" s="11" customFormat="1" x14ac:dyDescent="0.3"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</row>
    <row r="403" spans="25:41" s="11" customFormat="1" x14ac:dyDescent="0.3"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</row>
    <row r="404" spans="25:41" s="11" customFormat="1" x14ac:dyDescent="0.3"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</row>
    <row r="405" spans="25:41" s="11" customFormat="1" x14ac:dyDescent="0.3"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</row>
    <row r="406" spans="25:41" s="11" customFormat="1" x14ac:dyDescent="0.3"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</row>
    <row r="407" spans="25:41" s="11" customFormat="1" x14ac:dyDescent="0.3"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</row>
    <row r="408" spans="25:41" s="11" customFormat="1" x14ac:dyDescent="0.3"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</row>
    <row r="409" spans="25:41" s="11" customFormat="1" x14ac:dyDescent="0.3"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</row>
    <row r="410" spans="25:41" s="11" customFormat="1" x14ac:dyDescent="0.3"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</row>
    <row r="411" spans="25:41" s="11" customFormat="1" x14ac:dyDescent="0.3"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</row>
    <row r="412" spans="25:41" s="11" customFormat="1" x14ac:dyDescent="0.3"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</row>
    <row r="413" spans="25:41" s="11" customFormat="1" x14ac:dyDescent="0.3"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</row>
    <row r="414" spans="25:41" s="11" customFormat="1" x14ac:dyDescent="0.3"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</row>
    <row r="415" spans="25:41" s="11" customFormat="1" x14ac:dyDescent="0.3"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</row>
    <row r="416" spans="25:41" s="11" customFormat="1" x14ac:dyDescent="0.3"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</row>
    <row r="417" spans="25:41" s="11" customFormat="1" x14ac:dyDescent="0.3"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</row>
    <row r="418" spans="25:41" s="11" customFormat="1" x14ac:dyDescent="0.3"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</row>
    <row r="419" spans="25:41" s="11" customFormat="1" x14ac:dyDescent="0.3"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</row>
    <row r="420" spans="25:41" s="11" customFormat="1" x14ac:dyDescent="0.3"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</row>
    <row r="421" spans="25:41" s="11" customFormat="1" x14ac:dyDescent="0.3"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</row>
    <row r="422" spans="25:41" s="11" customFormat="1" x14ac:dyDescent="0.3"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</row>
    <row r="423" spans="25:41" s="11" customFormat="1" x14ac:dyDescent="0.3"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</row>
    <row r="424" spans="25:41" s="11" customFormat="1" x14ac:dyDescent="0.3"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</row>
    <row r="425" spans="25:41" s="11" customFormat="1" x14ac:dyDescent="0.3"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455"/>
  <sheetViews>
    <sheetView topLeftCell="A25" zoomScale="85" zoomScaleNormal="85" workbookViewId="0">
      <selection activeCell="M46" sqref="M46:M49"/>
    </sheetView>
  </sheetViews>
  <sheetFormatPr defaultColWidth="9.109375" defaultRowHeight="14.4" x14ac:dyDescent="0.3"/>
  <cols>
    <col min="1" max="1" width="9.109375" style="3"/>
    <col min="2" max="2" width="43.109375" style="3" customWidth="1"/>
    <col min="3" max="3" width="10.109375" style="3" bestFit="1" customWidth="1"/>
    <col min="4" max="4" width="10.109375" style="3" customWidth="1"/>
    <col min="5" max="5" width="9.5546875" style="3" bestFit="1" customWidth="1"/>
    <col min="6" max="6" width="11.109375" style="3" bestFit="1" customWidth="1"/>
    <col min="7" max="7" width="10.109375" style="3" bestFit="1" customWidth="1"/>
    <col min="8" max="8" width="9.44140625" style="3" bestFit="1" customWidth="1"/>
    <col min="9" max="10" width="11.109375" style="3" bestFit="1" customWidth="1"/>
    <col min="11" max="11" width="9.44140625" style="3" bestFit="1" customWidth="1"/>
    <col min="12" max="12" width="10.109375" style="3" bestFit="1" customWidth="1"/>
    <col min="13" max="13" width="11.109375" style="3" bestFit="1" customWidth="1"/>
    <col min="14" max="14" width="9.44140625" style="3" bestFit="1" customWidth="1"/>
    <col min="15" max="15" width="9.44140625" style="3" customWidth="1"/>
    <col min="16" max="16" width="1.5546875" style="11" customWidth="1"/>
    <col min="17" max="19" width="9.44140625" style="3" bestFit="1" customWidth="1"/>
    <col min="20" max="20" width="10" style="3" bestFit="1" customWidth="1"/>
    <col min="21" max="21" width="10.88671875" style="3" bestFit="1" customWidth="1"/>
    <col min="22" max="22" width="9.5546875" style="3" bestFit="1" customWidth="1"/>
    <col min="23" max="23" width="9.5546875" style="3" customWidth="1"/>
    <col min="24" max="24" width="12.33203125" style="3" bestFit="1" customWidth="1"/>
    <col min="25" max="25" width="9.88671875" style="3" bestFit="1" customWidth="1"/>
    <col min="26" max="26" width="10.88671875" style="3" bestFit="1" customWidth="1"/>
    <col min="27" max="29" width="9.109375" style="3"/>
    <col min="30" max="30" width="9.6640625" style="3" bestFit="1" customWidth="1"/>
    <col min="31" max="16384" width="9.109375" style="3"/>
  </cols>
  <sheetData>
    <row r="2" spans="2:20" s="9" customFormat="1" ht="21" x14ac:dyDescent="0.35">
      <c r="B2" s="10" t="s">
        <v>11</v>
      </c>
    </row>
    <row r="3" spans="2:20" ht="30" x14ac:dyDescent="0.25">
      <c r="B3" s="43" t="s">
        <v>31</v>
      </c>
      <c r="C3" s="43" t="s">
        <v>0</v>
      </c>
      <c r="D3" s="43" t="s">
        <v>1</v>
      </c>
      <c r="E3" s="43" t="s">
        <v>28</v>
      </c>
      <c r="F3" s="2" t="s">
        <v>29</v>
      </c>
      <c r="G3" s="2" t="s">
        <v>6</v>
      </c>
      <c r="H3" s="43" t="s">
        <v>2</v>
      </c>
      <c r="I3" s="43" t="s">
        <v>3</v>
      </c>
      <c r="J3" s="43" t="s">
        <v>4</v>
      </c>
      <c r="K3" s="43" t="s">
        <v>9</v>
      </c>
      <c r="L3" s="43" t="s">
        <v>8</v>
      </c>
      <c r="M3" s="43" t="s">
        <v>25</v>
      </c>
      <c r="N3" s="43" t="s">
        <v>7</v>
      </c>
      <c r="O3" s="43" t="s">
        <v>89</v>
      </c>
      <c r="P3" s="25"/>
      <c r="Q3" s="43" t="s">
        <v>5</v>
      </c>
      <c r="R3" s="43" t="s">
        <v>91</v>
      </c>
      <c r="T3" s="43" t="s">
        <v>10</v>
      </c>
    </row>
    <row r="4" spans="2:20" ht="15" x14ac:dyDescent="0.25">
      <c r="B4" s="3">
        <v>2016</v>
      </c>
      <c r="C4" s="74">
        <f>'HC-BC'!C4</f>
        <v>36060</v>
      </c>
      <c r="D4" s="74">
        <f>'HC-BC'!D4</f>
        <v>1860</v>
      </c>
      <c r="E4" s="74">
        <f>'HC-BC'!E4</f>
        <v>424.6</v>
      </c>
      <c r="F4" s="74">
        <f>'HC-BC'!F4</f>
        <v>3419</v>
      </c>
      <c r="G4" s="74">
        <f>'HC-BC'!G4</f>
        <v>2179</v>
      </c>
      <c r="H4" s="74">
        <f>'HC-BC'!H4</f>
        <v>1306</v>
      </c>
      <c r="I4" s="74">
        <f>'HC-BC'!I4</f>
        <v>200</v>
      </c>
      <c r="J4" s="74">
        <f>'HC-BC'!J4</f>
        <v>1479</v>
      </c>
      <c r="K4" s="74">
        <f>'HC-BC'!K4</f>
        <v>0</v>
      </c>
      <c r="L4" s="74">
        <f>'HC-BC'!L4</f>
        <v>264</v>
      </c>
      <c r="M4" s="74">
        <f>'HC-BC'!M4</f>
        <v>0</v>
      </c>
      <c r="N4" s="74">
        <f>'HC-BC'!N4</f>
        <v>1580</v>
      </c>
      <c r="O4" s="74">
        <f>'HC-BC'!P4</f>
        <v>0</v>
      </c>
      <c r="P4" s="89"/>
      <c r="Q4" s="39">
        <f>G4+N4</f>
        <v>3759</v>
      </c>
      <c r="R4" s="5">
        <f>SUM(K4:L4)</f>
        <v>264</v>
      </c>
      <c r="T4" s="5">
        <f>SUM(C4:O4)</f>
        <v>48771.6</v>
      </c>
    </row>
    <row r="5" spans="2:20" ht="15" x14ac:dyDescent="0.25">
      <c r="B5" s="3">
        <v>2030</v>
      </c>
      <c r="C5" s="74">
        <f>'HC-BC'!C5</f>
        <v>23080</v>
      </c>
      <c r="D5" s="74">
        <f>'HC-BC'!D5</f>
        <v>1860</v>
      </c>
      <c r="E5" s="74">
        <f>'HC-BC'!E5</f>
        <v>424.6</v>
      </c>
      <c r="F5" s="74">
        <f>'HC-BC'!F5</f>
        <v>3077</v>
      </c>
      <c r="G5" s="74">
        <f>'HC-BC'!G5</f>
        <v>2179</v>
      </c>
      <c r="H5" s="74">
        <f>'HC-BC'!H5</f>
        <v>1306</v>
      </c>
      <c r="I5" s="74">
        <f>'HC-BC'!I5</f>
        <v>200</v>
      </c>
      <c r="J5" s="74">
        <f>'HC-BC'!J5</f>
        <v>1479</v>
      </c>
      <c r="K5" s="74">
        <f>'HC-BC'!K5</f>
        <v>0</v>
      </c>
      <c r="L5" s="74">
        <f>'HC-BC'!L5</f>
        <v>264</v>
      </c>
      <c r="M5" s="74">
        <f>'HC-BC'!M5</f>
        <v>0</v>
      </c>
      <c r="N5" s="74">
        <f>'HC-BC'!N5</f>
        <v>1580</v>
      </c>
      <c r="O5" s="74">
        <f>'HC-BC'!P5</f>
        <v>0</v>
      </c>
      <c r="P5" s="89"/>
      <c r="Q5" s="39">
        <f>G5+N5</f>
        <v>3759</v>
      </c>
      <c r="R5" s="5">
        <f>SUM(K5:L5)</f>
        <v>264</v>
      </c>
      <c r="T5" s="5">
        <f t="shared" ref="T5:T7" si="0">SUM(C5:O5)</f>
        <v>35449.599999999999</v>
      </c>
    </row>
    <row r="6" spans="2:20" ht="15" x14ac:dyDescent="0.25">
      <c r="B6" s="3">
        <v>2040</v>
      </c>
      <c r="C6" s="74">
        <f>'HC-BC'!C6</f>
        <v>7660</v>
      </c>
      <c r="D6" s="74">
        <f>'HC-BC'!D6</f>
        <v>1860</v>
      </c>
      <c r="E6" s="74">
        <f>'HC-BC'!E6</f>
        <v>424.6</v>
      </c>
      <c r="F6" s="74">
        <f>'HC-BC'!F6</f>
        <v>1005</v>
      </c>
      <c r="G6" s="74">
        <f>'HC-BC'!G6</f>
        <v>2179</v>
      </c>
      <c r="H6" s="74">
        <f>'HC-BC'!H6</f>
        <v>0</v>
      </c>
      <c r="I6" s="74">
        <f>'HC-BC'!I6</f>
        <v>200</v>
      </c>
      <c r="J6" s="74">
        <f>'HC-BC'!J6</f>
        <v>435</v>
      </c>
      <c r="K6" s="74">
        <f>'HC-BC'!K6</f>
        <v>0</v>
      </c>
      <c r="L6" s="74">
        <f>'HC-BC'!L6</f>
        <v>264</v>
      </c>
      <c r="M6" s="74">
        <f>'HC-BC'!M6</f>
        <v>0</v>
      </c>
      <c r="N6" s="74">
        <f>'HC-BC'!N6</f>
        <v>1580</v>
      </c>
      <c r="O6" s="74">
        <f>'HC-BC'!P6</f>
        <v>0</v>
      </c>
      <c r="P6" s="89"/>
      <c r="Q6" s="39">
        <f>G6+N6</f>
        <v>3759</v>
      </c>
      <c r="R6" s="5">
        <f>SUM(K6:L6)</f>
        <v>264</v>
      </c>
      <c r="T6" s="5">
        <f t="shared" si="0"/>
        <v>15607.6</v>
      </c>
    </row>
    <row r="7" spans="2:20" ht="15" x14ac:dyDescent="0.25">
      <c r="B7" s="3">
        <v>2050</v>
      </c>
      <c r="C7" s="74">
        <f>'HC-BC'!C7</f>
        <v>670</v>
      </c>
      <c r="D7" s="74">
        <f>'HC-BC'!D7</f>
        <v>0</v>
      </c>
      <c r="E7" s="74">
        <f>'HC-BC'!E7</f>
        <v>424.6</v>
      </c>
      <c r="F7" s="74">
        <f>'HC-BC'!F7</f>
        <v>0</v>
      </c>
      <c r="G7" s="74">
        <f>'HC-BC'!G7</f>
        <v>2179</v>
      </c>
      <c r="H7" s="74">
        <f>'HC-BC'!H7</f>
        <v>0</v>
      </c>
      <c r="I7" s="74">
        <f>'HC-BC'!I7</f>
        <v>0</v>
      </c>
      <c r="J7" s="74">
        <f>'HC-BC'!J7</f>
        <v>0</v>
      </c>
      <c r="K7" s="74">
        <f>'HC-BC'!K7</f>
        <v>0</v>
      </c>
      <c r="L7" s="74">
        <f>'HC-BC'!L7</f>
        <v>264</v>
      </c>
      <c r="M7" s="74">
        <f>'HC-BC'!M7</f>
        <v>0</v>
      </c>
      <c r="N7" s="74">
        <f>'HC-BC'!N7</f>
        <v>1580</v>
      </c>
      <c r="O7" s="74">
        <f>'HC-BC'!P7</f>
        <v>0</v>
      </c>
      <c r="P7" s="89"/>
      <c r="Q7" s="39">
        <f>G7+N7</f>
        <v>3759</v>
      </c>
      <c r="R7" s="5">
        <f>SUM(K7:L7)</f>
        <v>264</v>
      </c>
      <c r="T7" s="5">
        <f t="shared" si="0"/>
        <v>5117.6000000000004</v>
      </c>
    </row>
    <row r="9" spans="2:20" ht="30" x14ac:dyDescent="0.25">
      <c r="B9" s="43" t="s">
        <v>30</v>
      </c>
      <c r="C9" s="43" t="s">
        <v>0</v>
      </c>
      <c r="D9" s="43" t="s">
        <v>1</v>
      </c>
      <c r="E9" s="43" t="s">
        <v>28</v>
      </c>
      <c r="F9" s="2" t="s">
        <v>29</v>
      </c>
      <c r="G9" s="2" t="s">
        <v>6</v>
      </c>
      <c r="H9" s="43" t="s">
        <v>2</v>
      </c>
      <c r="I9" s="43" t="s">
        <v>3</v>
      </c>
      <c r="J9" s="43" t="s">
        <v>4</v>
      </c>
      <c r="K9" s="43" t="s">
        <v>9</v>
      </c>
      <c r="L9" s="43" t="s">
        <v>8</v>
      </c>
      <c r="M9" s="43" t="s">
        <v>25</v>
      </c>
      <c r="N9" s="43" t="s">
        <v>7</v>
      </c>
      <c r="O9" s="43" t="s">
        <v>89</v>
      </c>
      <c r="P9" s="25"/>
      <c r="Q9" s="43" t="s">
        <v>5</v>
      </c>
      <c r="R9" s="43" t="s">
        <v>91</v>
      </c>
      <c r="T9" s="43" t="s">
        <v>10</v>
      </c>
    </row>
    <row r="10" spans="2:20" ht="15" x14ac:dyDescent="0.25">
      <c r="B10" s="3">
        <v>2016</v>
      </c>
      <c r="C10" s="74">
        <f>'HC-BC'!C10</f>
        <v>722</v>
      </c>
      <c r="D10" s="74">
        <f>'HC-BC'!D10</f>
        <v>0</v>
      </c>
      <c r="E10" s="74">
        <f>'HC-BC'!E10</f>
        <v>0</v>
      </c>
      <c r="F10" s="74">
        <f>'HC-BC'!F10</f>
        <v>0</v>
      </c>
      <c r="G10" s="74">
        <f>'HC-BC'!G10</f>
        <v>0</v>
      </c>
      <c r="H10" s="74">
        <f>'HC-BC'!H10</f>
        <v>154</v>
      </c>
      <c r="I10" s="74">
        <f>'HC-BC'!I10</f>
        <v>0</v>
      </c>
      <c r="J10" s="74">
        <f>'HC-BC'!J10</f>
        <v>0</v>
      </c>
      <c r="K10" s="74">
        <f>'HC-BC'!K10</f>
        <v>0</v>
      </c>
      <c r="L10" s="74">
        <f>'HC-BC'!L10</f>
        <v>0</v>
      </c>
      <c r="M10" s="74">
        <f>'HC-BC'!M10</f>
        <v>0</v>
      </c>
      <c r="N10" s="74">
        <f>'HC-BC'!N10</f>
        <v>0</v>
      </c>
      <c r="O10" s="74">
        <f>'HC-BC'!P10</f>
        <v>0</v>
      </c>
      <c r="P10" s="89"/>
      <c r="Q10" s="39">
        <f>G10+N10</f>
        <v>0</v>
      </c>
      <c r="R10" s="5">
        <f>SUM(K10:L10)</f>
        <v>0</v>
      </c>
      <c r="T10" s="5">
        <f>SUM(C10:O10)</f>
        <v>876</v>
      </c>
    </row>
    <row r="11" spans="2:20" ht="15" x14ac:dyDescent="0.25">
      <c r="B11" s="3">
        <v>2030</v>
      </c>
      <c r="C11" s="74">
        <f>'HC-BC'!C11</f>
        <v>9536</v>
      </c>
      <c r="D11" s="74">
        <f>'HC-BC'!D11</f>
        <v>0</v>
      </c>
      <c r="E11" s="74">
        <f>'HC-BC'!E11</f>
        <v>0</v>
      </c>
      <c r="F11" s="74">
        <f>'HC-BC'!F11</f>
        <v>0</v>
      </c>
      <c r="G11" s="74">
        <f>'HC-BC'!G11</f>
        <v>45</v>
      </c>
      <c r="H11" s="74">
        <f>'HC-BC'!H11</f>
        <v>2800</v>
      </c>
      <c r="I11" s="74">
        <f>'HC-BC'!I11</f>
        <v>850</v>
      </c>
      <c r="J11" s="74">
        <f>'HC-BC'!J11</f>
        <v>1332</v>
      </c>
      <c r="K11" s="74">
        <f>'HC-BC'!K11</f>
        <v>53</v>
      </c>
      <c r="L11" s="74">
        <f>'HC-BC'!L11</f>
        <v>153</v>
      </c>
      <c r="M11" s="74">
        <f>'HC-BC'!M11</f>
        <v>0</v>
      </c>
      <c r="N11" s="74">
        <f>'HC-BC'!N11</f>
        <v>1332</v>
      </c>
      <c r="O11" s="74">
        <f>'HC-BC'!P11</f>
        <v>0</v>
      </c>
      <c r="P11" s="89"/>
      <c r="Q11" s="39">
        <f>G11+N11</f>
        <v>1377</v>
      </c>
      <c r="R11" s="5">
        <f>SUM(K11:L11)</f>
        <v>206</v>
      </c>
      <c r="T11" s="5">
        <f t="shared" ref="T11:T13" si="1">SUM(C11:O11)</f>
        <v>16101</v>
      </c>
    </row>
    <row r="12" spans="2:20" ht="15" x14ac:dyDescent="0.25">
      <c r="B12" s="3">
        <v>2040</v>
      </c>
      <c r="C12" s="74">
        <f>'HC-BC'!C12</f>
        <v>9536</v>
      </c>
      <c r="D12" s="74">
        <f>'HC-BC'!D12</f>
        <v>0</v>
      </c>
      <c r="E12" s="74">
        <f>'HC-BC'!E12</f>
        <v>0</v>
      </c>
      <c r="F12" s="74">
        <f>'HC-BC'!F12</f>
        <v>0</v>
      </c>
      <c r="G12" s="74">
        <f>'HC-BC'!G12</f>
        <v>45</v>
      </c>
      <c r="H12" s="74">
        <f>'HC-BC'!H12</f>
        <v>0</v>
      </c>
      <c r="I12" s="74">
        <f>'HC-BC'!I12</f>
        <v>850</v>
      </c>
      <c r="J12" s="74">
        <f>'HC-BC'!J12</f>
        <v>1332</v>
      </c>
      <c r="K12" s="74">
        <f>'HC-BC'!K12</f>
        <v>53</v>
      </c>
      <c r="L12" s="74">
        <f>'HC-BC'!L12</f>
        <v>153</v>
      </c>
      <c r="M12" s="74">
        <f>'HC-BC'!M12</f>
        <v>0</v>
      </c>
      <c r="N12" s="74">
        <f>'HC-BC'!N12</f>
        <v>1332</v>
      </c>
      <c r="O12" s="74">
        <f>'HC-BC'!P12</f>
        <v>0</v>
      </c>
      <c r="P12" s="89"/>
      <c r="Q12" s="39">
        <f>G12+N12</f>
        <v>1377</v>
      </c>
      <c r="R12" s="5">
        <f>SUM(K12:L12)</f>
        <v>206</v>
      </c>
      <c r="T12" s="5">
        <f t="shared" si="1"/>
        <v>13301</v>
      </c>
    </row>
    <row r="13" spans="2:20" ht="15" x14ac:dyDescent="0.25">
      <c r="B13" s="3">
        <v>2050</v>
      </c>
      <c r="C13" s="74">
        <f>'HC-BC'!C13</f>
        <v>9536</v>
      </c>
      <c r="D13" s="74">
        <f>'HC-BC'!D13</f>
        <v>0</v>
      </c>
      <c r="E13" s="74">
        <f>'HC-BC'!E13</f>
        <v>0</v>
      </c>
      <c r="F13" s="74">
        <f>'HC-BC'!F13</f>
        <v>0</v>
      </c>
      <c r="G13" s="74">
        <f>'HC-BC'!G13</f>
        <v>45</v>
      </c>
      <c r="H13" s="74">
        <f>'HC-BC'!H13</f>
        <v>0</v>
      </c>
      <c r="I13" s="74">
        <f>'HC-BC'!I13</f>
        <v>0</v>
      </c>
      <c r="J13" s="74">
        <f>'HC-BC'!J13</f>
        <v>0</v>
      </c>
      <c r="K13" s="74">
        <f>'HC-BC'!K13</f>
        <v>0</v>
      </c>
      <c r="L13" s="74">
        <f>'HC-BC'!L13</f>
        <v>0</v>
      </c>
      <c r="M13" s="74">
        <f>'HC-BC'!M13</f>
        <v>0</v>
      </c>
      <c r="N13" s="74">
        <f>'HC-BC'!N13</f>
        <v>1332</v>
      </c>
      <c r="O13" s="74">
        <f>'HC-BC'!P13</f>
        <v>0</v>
      </c>
      <c r="P13" s="89"/>
      <c r="Q13" s="39">
        <f>G13+N13</f>
        <v>1377</v>
      </c>
      <c r="R13" s="5">
        <f>SUM(K13:L13)</f>
        <v>0</v>
      </c>
      <c r="T13" s="5">
        <f t="shared" si="1"/>
        <v>10913</v>
      </c>
    </row>
    <row r="15" spans="2:20" ht="30" x14ac:dyDescent="0.25">
      <c r="B15" s="43" t="s">
        <v>32</v>
      </c>
      <c r="C15" s="43" t="s">
        <v>0</v>
      </c>
      <c r="D15" s="43" t="s">
        <v>1</v>
      </c>
      <c r="E15" s="43" t="s">
        <v>28</v>
      </c>
      <c r="F15" s="2" t="s">
        <v>29</v>
      </c>
      <c r="G15" s="2" t="s">
        <v>6</v>
      </c>
      <c r="H15" s="43" t="s">
        <v>2</v>
      </c>
      <c r="I15" s="43" t="s">
        <v>3</v>
      </c>
      <c r="J15" s="43" t="s">
        <v>4</v>
      </c>
      <c r="K15" s="43" t="s">
        <v>9</v>
      </c>
      <c r="L15" s="43" t="s">
        <v>8</v>
      </c>
      <c r="M15" s="43" t="s">
        <v>25</v>
      </c>
      <c r="N15" s="43" t="s">
        <v>7</v>
      </c>
      <c r="O15" s="43" t="s">
        <v>89</v>
      </c>
      <c r="P15" s="25"/>
      <c r="Q15" s="43" t="s">
        <v>5</v>
      </c>
      <c r="R15" s="43" t="s">
        <v>91</v>
      </c>
      <c r="T15" s="43" t="s">
        <v>10</v>
      </c>
    </row>
    <row r="16" spans="2:20" ht="15" x14ac:dyDescent="0.25">
      <c r="B16" s="3">
        <v>2016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89"/>
      <c r="Q16" s="39">
        <f>G16+N16</f>
        <v>0</v>
      </c>
      <c r="R16" s="5">
        <f>SUM(K16:L16)</f>
        <v>0</v>
      </c>
      <c r="T16" s="5">
        <f>SUM(C16:O16)</f>
        <v>0</v>
      </c>
    </row>
    <row r="17" spans="1:23" ht="15" x14ac:dyDescent="0.25">
      <c r="B17" s="3">
        <v>2030</v>
      </c>
      <c r="C17" s="44">
        <v>0</v>
      </c>
      <c r="D17" s="44">
        <v>0</v>
      </c>
      <c r="E17" s="44">
        <v>2928</v>
      </c>
      <c r="F17" s="44">
        <v>10032</v>
      </c>
      <c r="G17" s="44">
        <v>0</v>
      </c>
      <c r="H17" s="44">
        <v>21000</v>
      </c>
      <c r="I17" s="44">
        <v>0</v>
      </c>
      <c r="J17" s="44">
        <v>12500</v>
      </c>
      <c r="K17" s="44">
        <v>0</v>
      </c>
      <c r="L17" s="44">
        <v>0</v>
      </c>
      <c r="M17" s="44">
        <v>620</v>
      </c>
      <c r="N17" s="44">
        <v>333</v>
      </c>
      <c r="O17" s="44">
        <v>3</v>
      </c>
      <c r="P17" s="89"/>
      <c r="Q17" s="39">
        <f>G17+N17</f>
        <v>333</v>
      </c>
      <c r="R17" s="5">
        <f>SUM(K17:L17)</f>
        <v>0</v>
      </c>
      <c r="T17" s="5">
        <f t="shared" ref="T17:T19" si="2">SUM(C17:O17)</f>
        <v>47416</v>
      </c>
    </row>
    <row r="18" spans="1:23" ht="15" x14ac:dyDescent="0.25">
      <c r="B18" s="3">
        <v>2040</v>
      </c>
      <c r="C18" s="44">
        <v>0</v>
      </c>
      <c r="D18" s="44">
        <v>0</v>
      </c>
      <c r="E18" s="44">
        <v>9516</v>
      </c>
      <c r="F18" s="44">
        <v>26004</v>
      </c>
      <c r="G18" s="44">
        <v>0</v>
      </c>
      <c r="H18" s="44">
        <v>57600</v>
      </c>
      <c r="I18" s="44">
        <v>0</v>
      </c>
      <c r="J18" s="44">
        <v>50500</v>
      </c>
      <c r="K18" s="44">
        <v>265</v>
      </c>
      <c r="L18" s="44">
        <v>0</v>
      </c>
      <c r="M18" s="44">
        <v>3226</v>
      </c>
      <c r="N18" s="44">
        <v>333</v>
      </c>
      <c r="O18" s="44">
        <v>6</v>
      </c>
      <c r="P18" s="89"/>
      <c r="Q18" s="39">
        <f>G18+N18</f>
        <v>333</v>
      </c>
      <c r="R18" s="5">
        <f>SUM(K18:L18)</f>
        <v>265</v>
      </c>
      <c r="T18" s="5">
        <f t="shared" si="2"/>
        <v>147450</v>
      </c>
    </row>
    <row r="19" spans="1:23" ht="15" x14ac:dyDescent="0.25">
      <c r="B19" s="3">
        <v>2050</v>
      </c>
      <c r="C19" s="44">
        <v>0</v>
      </c>
      <c r="D19" s="44">
        <v>0</v>
      </c>
      <c r="E19" s="44">
        <v>19032</v>
      </c>
      <c r="F19" s="44">
        <v>36828</v>
      </c>
      <c r="G19" s="44">
        <v>2500</v>
      </c>
      <c r="H19" s="44">
        <v>85100</v>
      </c>
      <c r="I19" s="44">
        <v>0</v>
      </c>
      <c r="J19" s="44">
        <v>74000</v>
      </c>
      <c r="K19" s="44">
        <v>290</v>
      </c>
      <c r="L19" s="44">
        <v>0</v>
      </c>
      <c r="M19" s="44">
        <v>3015</v>
      </c>
      <c r="N19" s="44">
        <v>666</v>
      </c>
      <c r="O19" s="44">
        <v>6</v>
      </c>
      <c r="P19" s="89"/>
      <c r="Q19" s="39">
        <f>G19+N19</f>
        <v>3166</v>
      </c>
      <c r="R19" s="5">
        <f>SUM(K19:L19)</f>
        <v>290</v>
      </c>
      <c r="T19" s="5">
        <f t="shared" si="2"/>
        <v>221437</v>
      </c>
    </row>
    <row r="21" spans="1:23" ht="30" x14ac:dyDescent="0.25">
      <c r="B21" s="43" t="s">
        <v>33</v>
      </c>
      <c r="C21" s="43" t="s">
        <v>0</v>
      </c>
      <c r="D21" s="43" t="s">
        <v>1</v>
      </c>
      <c r="E21" s="43" t="s">
        <v>28</v>
      </c>
      <c r="F21" s="2" t="s">
        <v>29</v>
      </c>
      <c r="G21" s="2" t="s">
        <v>6</v>
      </c>
      <c r="H21" s="43" t="s">
        <v>2</v>
      </c>
      <c r="I21" s="43" t="s">
        <v>3</v>
      </c>
      <c r="J21" s="43" t="s">
        <v>4</v>
      </c>
      <c r="K21" s="43" t="s">
        <v>9</v>
      </c>
      <c r="L21" s="43" t="s">
        <v>8</v>
      </c>
      <c r="M21" s="43" t="s">
        <v>25</v>
      </c>
      <c r="N21" s="43" t="s">
        <v>7</v>
      </c>
      <c r="O21" s="43" t="s">
        <v>89</v>
      </c>
      <c r="P21" s="25"/>
      <c r="Q21" s="43" t="s">
        <v>5</v>
      </c>
      <c r="R21" s="43" t="s">
        <v>91</v>
      </c>
      <c r="T21" s="43" t="s">
        <v>10</v>
      </c>
      <c r="V21" s="25"/>
      <c r="W21" s="25"/>
    </row>
    <row r="22" spans="1:23" ht="15" x14ac:dyDescent="0.25">
      <c r="A22" s="39">
        <f>C22-C16</f>
        <v>36782</v>
      </c>
      <c r="B22" s="3">
        <v>2016</v>
      </c>
      <c r="C22" s="50">
        <f>C4+C10+C16</f>
        <v>36782</v>
      </c>
      <c r="D22" s="50">
        <f t="shared" ref="D22:O25" si="3">D4+D10+D16</f>
        <v>1860</v>
      </c>
      <c r="E22" s="50">
        <f t="shared" si="3"/>
        <v>424.6</v>
      </c>
      <c r="F22" s="50">
        <f t="shared" si="3"/>
        <v>3419</v>
      </c>
      <c r="G22" s="50">
        <f t="shared" si="3"/>
        <v>2179</v>
      </c>
      <c r="H22" s="50">
        <f t="shared" si="3"/>
        <v>1460</v>
      </c>
      <c r="I22" s="50">
        <f t="shared" si="3"/>
        <v>200</v>
      </c>
      <c r="J22" s="50">
        <f t="shared" si="3"/>
        <v>1479</v>
      </c>
      <c r="K22" s="50">
        <f t="shared" si="3"/>
        <v>0</v>
      </c>
      <c r="L22" s="50">
        <f t="shared" si="3"/>
        <v>264</v>
      </c>
      <c r="M22" s="50">
        <f t="shared" si="3"/>
        <v>0</v>
      </c>
      <c r="N22" s="50">
        <f t="shared" si="3"/>
        <v>1580</v>
      </c>
      <c r="O22" s="50">
        <f t="shared" si="3"/>
        <v>0</v>
      </c>
      <c r="P22" s="56"/>
      <c r="Q22" s="39">
        <f>G22+N22</f>
        <v>3759</v>
      </c>
      <c r="R22" s="5">
        <f>SUM(K22:L22)</f>
        <v>264</v>
      </c>
      <c r="T22" s="5">
        <f>SUM(C22:O22)</f>
        <v>49647.6</v>
      </c>
      <c r="V22" s="24"/>
      <c r="W22" s="26"/>
    </row>
    <row r="23" spans="1:23" ht="15" x14ac:dyDescent="0.25">
      <c r="A23" s="39">
        <f t="shared" ref="A23:A25" si="4">C23-C17</f>
        <v>32616</v>
      </c>
      <c r="B23" s="3">
        <v>2030</v>
      </c>
      <c r="C23" s="50">
        <f t="shared" ref="C23:N25" si="5">C5+C11+C17</f>
        <v>32616</v>
      </c>
      <c r="D23" s="50">
        <f t="shared" si="5"/>
        <v>1860</v>
      </c>
      <c r="E23" s="50">
        <f t="shared" si="5"/>
        <v>3352.6</v>
      </c>
      <c r="F23" s="50">
        <f t="shared" si="5"/>
        <v>13109</v>
      </c>
      <c r="G23" s="50">
        <f t="shared" si="5"/>
        <v>2224</v>
      </c>
      <c r="H23" s="50">
        <f t="shared" si="5"/>
        <v>25106</v>
      </c>
      <c r="I23" s="50">
        <f t="shared" si="5"/>
        <v>1050</v>
      </c>
      <c r="J23" s="50">
        <f t="shared" si="5"/>
        <v>15311</v>
      </c>
      <c r="K23" s="50">
        <f t="shared" si="5"/>
        <v>53</v>
      </c>
      <c r="L23" s="50">
        <f t="shared" si="5"/>
        <v>417</v>
      </c>
      <c r="M23" s="50">
        <f t="shared" si="5"/>
        <v>620</v>
      </c>
      <c r="N23" s="50">
        <f t="shared" si="5"/>
        <v>3245</v>
      </c>
      <c r="O23" s="50">
        <f t="shared" si="3"/>
        <v>3</v>
      </c>
      <c r="P23" s="56"/>
      <c r="Q23" s="39">
        <f>G23+N23</f>
        <v>5469</v>
      </c>
      <c r="R23" s="5">
        <f>SUM(K23:L23)</f>
        <v>470</v>
      </c>
      <c r="T23" s="5">
        <f t="shared" ref="T23:T24" si="6">SUM(C23:O23)</f>
        <v>98966.6</v>
      </c>
      <c r="V23" s="24"/>
      <c r="W23" s="26"/>
    </row>
    <row r="24" spans="1:23" ht="15" x14ac:dyDescent="0.25">
      <c r="A24" s="39">
        <f t="shared" si="4"/>
        <v>17196</v>
      </c>
      <c r="B24" s="3">
        <v>2040</v>
      </c>
      <c r="C24" s="50">
        <f t="shared" si="5"/>
        <v>17196</v>
      </c>
      <c r="D24" s="50">
        <f t="shared" si="5"/>
        <v>1860</v>
      </c>
      <c r="E24" s="50">
        <f t="shared" si="5"/>
        <v>9940.6</v>
      </c>
      <c r="F24" s="50">
        <f t="shared" si="5"/>
        <v>27009</v>
      </c>
      <c r="G24" s="50">
        <f t="shared" si="5"/>
        <v>2224</v>
      </c>
      <c r="H24" s="50">
        <f t="shared" si="5"/>
        <v>57600</v>
      </c>
      <c r="I24" s="50">
        <f t="shared" si="5"/>
        <v>1050</v>
      </c>
      <c r="J24" s="50">
        <f t="shared" si="5"/>
        <v>52267</v>
      </c>
      <c r="K24" s="50">
        <f t="shared" si="5"/>
        <v>318</v>
      </c>
      <c r="L24" s="50">
        <f t="shared" si="5"/>
        <v>417</v>
      </c>
      <c r="M24" s="50">
        <f t="shared" si="5"/>
        <v>3226</v>
      </c>
      <c r="N24" s="50">
        <f t="shared" si="5"/>
        <v>3245</v>
      </c>
      <c r="O24" s="50">
        <f t="shared" si="3"/>
        <v>6</v>
      </c>
      <c r="P24" s="56"/>
      <c r="Q24" s="39">
        <f>G24+N24</f>
        <v>5469</v>
      </c>
      <c r="R24" s="5">
        <f>SUM(K24:L24)</f>
        <v>735</v>
      </c>
      <c r="T24" s="5">
        <f t="shared" si="6"/>
        <v>176358.6</v>
      </c>
      <c r="V24" s="24"/>
      <c r="W24" s="26"/>
    </row>
    <row r="25" spans="1:23" ht="15" x14ac:dyDescent="0.25">
      <c r="A25" s="39">
        <f t="shared" si="4"/>
        <v>10206</v>
      </c>
      <c r="B25" s="3">
        <v>2050</v>
      </c>
      <c r="C25" s="50">
        <f t="shared" si="5"/>
        <v>10206</v>
      </c>
      <c r="D25" s="50">
        <f t="shared" si="5"/>
        <v>0</v>
      </c>
      <c r="E25" s="50">
        <f t="shared" si="5"/>
        <v>19456.599999999999</v>
      </c>
      <c r="F25" s="50">
        <f t="shared" si="5"/>
        <v>36828</v>
      </c>
      <c r="G25" s="50">
        <f t="shared" si="5"/>
        <v>4724</v>
      </c>
      <c r="H25" s="50">
        <f t="shared" si="5"/>
        <v>85100</v>
      </c>
      <c r="I25" s="50">
        <f t="shared" si="5"/>
        <v>0</v>
      </c>
      <c r="J25" s="50">
        <f t="shared" si="5"/>
        <v>74000</v>
      </c>
      <c r="K25" s="50">
        <f t="shared" si="5"/>
        <v>290</v>
      </c>
      <c r="L25" s="50">
        <f t="shared" si="5"/>
        <v>264</v>
      </c>
      <c r="M25" s="50">
        <f t="shared" si="5"/>
        <v>3015</v>
      </c>
      <c r="N25" s="50">
        <f t="shared" si="5"/>
        <v>3578</v>
      </c>
      <c r="O25" s="50">
        <f t="shared" si="3"/>
        <v>6</v>
      </c>
      <c r="P25" s="56"/>
      <c r="Q25" s="39">
        <f>G25+N25</f>
        <v>8302</v>
      </c>
      <c r="R25" s="5">
        <f>SUM(K25:L25)</f>
        <v>554</v>
      </c>
      <c r="T25" s="5">
        <f>SUM(C25:O25)</f>
        <v>237467.6</v>
      </c>
      <c r="V25" s="24"/>
      <c r="W25" s="26"/>
    </row>
    <row r="26" spans="1:23" ht="15" x14ac:dyDescent="0.25">
      <c r="A26" s="39"/>
      <c r="V26" s="11"/>
      <c r="W26" s="11"/>
    </row>
    <row r="27" spans="1:23" ht="15" x14ac:dyDescent="0.25">
      <c r="A27" s="39"/>
      <c r="B27" s="3">
        <v>2016</v>
      </c>
      <c r="C27" s="23">
        <f t="shared" ref="C27:O27" si="7">C22/$T22</f>
        <v>0.74086159250396799</v>
      </c>
      <c r="D27" s="23">
        <f t="shared" si="7"/>
        <v>3.74640466004399E-2</v>
      </c>
      <c r="E27" s="23">
        <f t="shared" si="7"/>
        <v>8.5522764443799904E-3</v>
      </c>
      <c r="F27" s="23">
        <f t="shared" si="7"/>
        <v>6.8865363078980654E-2</v>
      </c>
      <c r="G27" s="23">
        <f t="shared" si="7"/>
        <v>4.3889332012020721E-2</v>
      </c>
      <c r="H27" s="23">
        <f t="shared" si="7"/>
        <v>2.9407262385291535E-2</v>
      </c>
      <c r="I27" s="23">
        <f t="shared" si="7"/>
        <v>4.0283921075741826E-3</v>
      </c>
      <c r="J27" s="23">
        <f t="shared" si="7"/>
        <v>2.9789959635511083E-2</v>
      </c>
      <c r="K27" s="23">
        <f t="shared" si="7"/>
        <v>0</v>
      </c>
      <c r="L27" s="23">
        <f t="shared" si="7"/>
        <v>5.3174775819979214E-3</v>
      </c>
      <c r="M27" s="23">
        <f t="shared" si="7"/>
        <v>0</v>
      </c>
      <c r="N27" s="23">
        <f t="shared" si="7"/>
        <v>3.1824297649836047E-2</v>
      </c>
      <c r="O27" s="23">
        <f t="shared" si="7"/>
        <v>0</v>
      </c>
      <c r="P27" s="26"/>
      <c r="Q27" s="7">
        <f t="shared" ref="Q27:R30" si="8">Q22/$T22</f>
        <v>7.5713629661856768E-2</v>
      </c>
      <c r="R27" s="7">
        <f t="shared" si="8"/>
        <v>5.3174775819979214E-3</v>
      </c>
      <c r="T27" s="8">
        <f>SUM(C27:O27)</f>
        <v>1</v>
      </c>
    </row>
    <row r="28" spans="1:23" x14ac:dyDescent="0.3">
      <c r="A28" s="39"/>
      <c r="B28" s="3">
        <v>2030</v>
      </c>
      <c r="C28" s="23">
        <f t="shared" ref="C28:O28" si="9">C23/$T23</f>
        <v>0.32956573227735414</v>
      </c>
      <c r="D28" s="23">
        <f t="shared" si="9"/>
        <v>1.8794219463940359E-2</v>
      </c>
      <c r="E28" s="23">
        <f t="shared" si="9"/>
        <v>3.3876075362799164E-2</v>
      </c>
      <c r="F28" s="23">
        <f t="shared" si="9"/>
        <v>0.13245882954451299</v>
      </c>
      <c r="G28" s="23">
        <f t="shared" si="9"/>
        <v>2.2472228004195353E-2</v>
      </c>
      <c r="H28" s="23">
        <f t="shared" si="9"/>
        <v>0.25368154508692831</v>
      </c>
      <c r="I28" s="23">
        <f t="shared" si="9"/>
        <v>1.0609640019966331E-2</v>
      </c>
      <c r="J28" s="23">
        <f t="shared" si="9"/>
        <v>0.15470876032924238</v>
      </c>
      <c r="K28" s="23">
        <f t="shared" si="9"/>
        <v>5.3553421053163385E-4</v>
      </c>
      <c r="L28" s="23">
        <f t="shared" si="9"/>
        <v>4.2135427507866289E-3</v>
      </c>
      <c r="M28" s="23">
        <f t="shared" si="9"/>
        <v>6.2647398213134531E-3</v>
      </c>
      <c r="N28" s="23">
        <f t="shared" si="9"/>
        <v>3.2788839871229283E-2</v>
      </c>
      <c r="O28" s="23">
        <f t="shared" si="9"/>
        <v>3.0313257199903803E-5</v>
      </c>
      <c r="P28" s="26"/>
      <c r="Q28" s="7">
        <f t="shared" si="8"/>
        <v>5.5261067875424633E-2</v>
      </c>
      <c r="R28" s="7">
        <f t="shared" si="8"/>
        <v>4.7490769613182625E-3</v>
      </c>
      <c r="T28" s="8">
        <f t="shared" ref="T28:T30" si="10">SUM(C28:O28)</f>
        <v>1</v>
      </c>
    </row>
    <row r="29" spans="1:23" x14ac:dyDescent="0.3">
      <c r="A29" s="39"/>
      <c r="B29" s="3">
        <v>2040</v>
      </c>
      <c r="C29" s="23">
        <f t="shared" ref="C29:O29" si="11">C24/$T24</f>
        <v>9.7505877229689952E-2</v>
      </c>
      <c r="D29" s="23">
        <f t="shared" si="11"/>
        <v>1.0546692931334225E-2</v>
      </c>
      <c r="E29" s="23">
        <f t="shared" si="11"/>
        <v>5.6365836426462902E-2</v>
      </c>
      <c r="F29" s="23">
        <f t="shared" si="11"/>
        <v>0.15314818784000325</v>
      </c>
      <c r="G29" s="23">
        <f t="shared" si="11"/>
        <v>1.2610669397466299E-2</v>
      </c>
      <c r="H29" s="23">
        <f t="shared" si="11"/>
        <v>0.3266072649703502</v>
      </c>
      <c r="I29" s="23">
        <f t="shared" si="11"/>
        <v>5.9537782676886749E-3</v>
      </c>
      <c r="J29" s="23">
        <f t="shared" si="11"/>
        <v>0.29636774163550855</v>
      </c>
      <c r="K29" s="23">
        <f t="shared" si="11"/>
        <v>1.8031442753571416E-3</v>
      </c>
      <c r="L29" s="23">
        <f t="shared" si="11"/>
        <v>2.364500512024931E-3</v>
      </c>
      <c r="M29" s="23">
        <f t="shared" si="11"/>
        <v>1.8292274944346348E-2</v>
      </c>
      <c r="N29" s="23">
        <f t="shared" si="11"/>
        <v>1.840000997966643E-2</v>
      </c>
      <c r="O29" s="23">
        <f t="shared" si="11"/>
        <v>3.4021590101078141E-5</v>
      </c>
      <c r="P29" s="26"/>
      <c r="Q29" s="7">
        <f t="shared" si="8"/>
        <v>3.1010679377132727E-2</v>
      </c>
      <c r="R29" s="7">
        <f t="shared" si="8"/>
        <v>4.1676447873820726E-3</v>
      </c>
      <c r="T29" s="8">
        <f t="shared" si="10"/>
        <v>1</v>
      </c>
    </row>
    <row r="30" spans="1:23" x14ac:dyDescent="0.3">
      <c r="A30" s="39"/>
      <c r="B30" s="3">
        <v>2050</v>
      </c>
      <c r="C30" s="23">
        <f t="shared" ref="C30:O30" si="12">C25/$T25</f>
        <v>4.2978494750441743E-2</v>
      </c>
      <c r="D30" s="23">
        <f t="shared" si="12"/>
        <v>0</v>
      </c>
      <c r="E30" s="23">
        <f t="shared" si="12"/>
        <v>8.1933703797907584E-2</v>
      </c>
      <c r="F30" s="23">
        <f t="shared" si="12"/>
        <v>0.15508642021058872</v>
      </c>
      <c r="G30" s="23">
        <f t="shared" si="12"/>
        <v>1.9893240172554064E-2</v>
      </c>
      <c r="H30" s="23">
        <f t="shared" si="12"/>
        <v>0.35836467796027754</v>
      </c>
      <c r="I30" s="23">
        <f t="shared" si="12"/>
        <v>0</v>
      </c>
      <c r="J30" s="23">
        <f t="shared" si="12"/>
        <v>0.3116214590958935</v>
      </c>
      <c r="K30" s="23">
        <f t="shared" si="12"/>
        <v>1.221219231592015E-3</v>
      </c>
      <c r="L30" s="23">
        <f t="shared" si="12"/>
        <v>1.111730610828593E-3</v>
      </c>
      <c r="M30" s="23">
        <f t="shared" si="12"/>
        <v>1.2696468907758364E-2</v>
      </c>
      <c r="N30" s="23">
        <f t="shared" si="12"/>
        <v>1.506731865736631E-2</v>
      </c>
      <c r="O30" s="23">
        <f t="shared" si="12"/>
        <v>2.5266604791558931E-5</v>
      </c>
      <c r="P30" s="26"/>
      <c r="Q30" s="7">
        <f t="shared" si="8"/>
        <v>3.4960558829920378E-2</v>
      </c>
      <c r="R30" s="7">
        <f t="shared" si="8"/>
        <v>2.3329498424206081E-3</v>
      </c>
      <c r="T30" s="8">
        <f t="shared" si="10"/>
        <v>0.99999999999999989</v>
      </c>
    </row>
    <row r="31" spans="1:23" x14ac:dyDescent="0.3">
      <c r="A31" s="39"/>
    </row>
    <row r="32" spans="1:23" s="9" customFormat="1" ht="21" x14ac:dyDescent="0.4">
      <c r="A32" s="86"/>
      <c r="B32" s="10" t="s">
        <v>53</v>
      </c>
    </row>
    <row r="33" spans="1:37" ht="28.8" x14ac:dyDescent="0.3">
      <c r="A33" s="39"/>
      <c r="B33" s="43" t="s">
        <v>34</v>
      </c>
      <c r="C33" s="43" t="s">
        <v>0</v>
      </c>
      <c r="D33" s="43" t="s">
        <v>1</v>
      </c>
      <c r="E33" s="43" t="s">
        <v>28</v>
      </c>
      <c r="F33" s="2" t="s">
        <v>29</v>
      </c>
      <c r="G33" s="2" t="s">
        <v>6</v>
      </c>
      <c r="H33" s="43" t="s">
        <v>2</v>
      </c>
      <c r="I33" s="43" t="s">
        <v>3</v>
      </c>
      <c r="J33" s="43" t="s">
        <v>4</v>
      </c>
      <c r="K33" s="43" t="s">
        <v>9</v>
      </c>
      <c r="L33" s="43" t="s">
        <v>8</v>
      </c>
      <c r="M33" s="43" t="s">
        <v>25</v>
      </c>
      <c r="N33" s="43" t="s">
        <v>7</v>
      </c>
      <c r="O33" s="43" t="s">
        <v>89</v>
      </c>
      <c r="P33" s="25"/>
      <c r="Q33" s="43" t="s">
        <v>5</v>
      </c>
      <c r="R33" s="43" t="s">
        <v>91</v>
      </c>
      <c r="T33" s="43" t="s">
        <v>10</v>
      </c>
      <c r="X33" s="39"/>
      <c r="Y33" s="39"/>
      <c r="Z33" s="39"/>
    </row>
    <row r="34" spans="1:37" x14ac:dyDescent="0.3">
      <c r="A34" s="39"/>
      <c r="B34" s="3">
        <v>2016</v>
      </c>
      <c r="C34" s="50">
        <f>'HC-BC'!C34</f>
        <v>194808.80434990322</v>
      </c>
      <c r="D34" s="50">
        <f>'HC-BC'!D34</f>
        <v>14743.87884401034</v>
      </c>
      <c r="E34" s="50">
        <f>'HC-BC'!E34</f>
        <v>756.07675598824017</v>
      </c>
      <c r="F34" s="50">
        <f>'HC-BC'!F34</f>
        <v>2024.3136712665919</v>
      </c>
      <c r="G34" s="50">
        <f>'HC-BC'!G34</f>
        <v>15799.124268819065</v>
      </c>
      <c r="H34" s="50">
        <f>'HC-BC'!H34</f>
        <v>4022.2162852660199</v>
      </c>
      <c r="I34" s="50">
        <f>'HC-BC'!I34</f>
        <v>827.66992563012559</v>
      </c>
      <c r="J34" s="50">
        <f>'HC-BC'!J34</f>
        <v>2639.0862346009021</v>
      </c>
      <c r="K34" s="50">
        <f>'HC-BC'!K34</f>
        <v>0</v>
      </c>
      <c r="L34" s="50">
        <f>'HC-BC'!L34</f>
        <v>1583.7347303540462</v>
      </c>
      <c r="M34" s="50">
        <f>'HC-BC'!M34</f>
        <v>0</v>
      </c>
      <c r="N34" s="50">
        <f>'HC-BC'!N34</f>
        <v>2994.3929759978951</v>
      </c>
      <c r="O34" s="50">
        <f>'HC-BC'!P34</f>
        <v>0</v>
      </c>
      <c r="P34" s="56"/>
      <c r="Q34" s="39">
        <f>G34+N34</f>
        <v>18793.517244816961</v>
      </c>
      <c r="R34" s="5">
        <f>SUM(K34:L34)</f>
        <v>1583.7347303540462</v>
      </c>
      <c r="T34" s="5">
        <f>SUM(C34:O34)</f>
        <v>240199.29804183645</v>
      </c>
      <c r="X34" s="39"/>
      <c r="Y34" s="39"/>
      <c r="Z34" s="39"/>
      <c r="AA34" s="39"/>
      <c r="AB34" s="39"/>
    </row>
    <row r="35" spans="1:37" x14ac:dyDescent="0.3">
      <c r="A35" s="39"/>
      <c r="B35" s="3">
        <v>2030</v>
      </c>
      <c r="C35" s="102">
        <f>Y35*(Inputs_Summary!$E73/$Y53)</f>
        <v>125097.78041095975</v>
      </c>
      <c r="D35" s="102">
        <f>Z35*(Inputs_Summary!$E73/$Y53)</f>
        <v>14521.607714159727</v>
      </c>
      <c r="E35" s="102">
        <f>AA35*(Inputs_Summary!$E73/$Y53)</f>
        <v>2216.4398091500375</v>
      </c>
      <c r="F35" s="102">
        <f>AB35*(Inputs_Summary!$E73/$Y53)</f>
        <v>159.11855049581496</v>
      </c>
      <c r="G35" s="102">
        <f>AC35*(Inputs_Summary!$E73/$Y53)</f>
        <v>12242.948471802993</v>
      </c>
      <c r="H35" s="102">
        <f>AD35*(Inputs_Summary!$E73/$Y53)</f>
        <v>4187.0618575982071</v>
      </c>
      <c r="I35" s="102">
        <f>AE35*(Inputs_Summary!$E73/$Y53)</f>
        <v>840.47234364456097</v>
      </c>
      <c r="J35" s="102">
        <f>AF35*(Inputs_Summary!$E73/$Y53)</f>
        <v>2623.4161017643337</v>
      </c>
      <c r="K35" s="102">
        <f>AG35*(Inputs_Summary!$E73/$Y53)</f>
        <v>0</v>
      </c>
      <c r="L35" s="102">
        <f>AH35*(Inputs_Summary!$E73/$Y53)</f>
        <v>1568.7457093754062</v>
      </c>
      <c r="M35" s="102">
        <f>AI35*(Inputs_Summary!$E73/$Y53)</f>
        <v>0</v>
      </c>
      <c r="N35" s="102">
        <f>AJ35*(Inputs_Summary!$E73/$Y53)</f>
        <v>2734.5950889697428</v>
      </c>
      <c r="O35" s="102">
        <f>AK35*(Inputs_Summary!$E73/$Y53)</f>
        <v>0</v>
      </c>
      <c r="P35" s="56"/>
      <c r="Q35" s="39">
        <f>G35+N35</f>
        <v>14977.543560772736</v>
      </c>
      <c r="R35" s="5">
        <f>SUM(K35:L35)</f>
        <v>1568.7457093754062</v>
      </c>
      <c r="T35" s="5">
        <f t="shared" ref="T35:T37" si="13">SUM(C35:O35)</f>
        <v>166192.18605792057</v>
      </c>
      <c r="Y35" s="39">
        <v>122646</v>
      </c>
      <c r="Z35" s="39">
        <v>14237</v>
      </c>
      <c r="AA35" s="39">
        <v>2173</v>
      </c>
      <c r="AB35" s="39">
        <v>156</v>
      </c>
      <c r="AC35" s="39">
        <v>12003</v>
      </c>
      <c r="AD35" s="39">
        <v>4105</v>
      </c>
      <c r="AE35" s="3">
        <v>824</v>
      </c>
      <c r="AF35" s="39">
        <v>2572</v>
      </c>
      <c r="AG35" s="3">
        <v>0</v>
      </c>
      <c r="AH35" s="39">
        <v>1538</v>
      </c>
      <c r="AI35" s="3">
        <v>0</v>
      </c>
      <c r="AJ35" s="39">
        <v>2681</v>
      </c>
    </row>
    <row r="36" spans="1:37" x14ac:dyDescent="0.3">
      <c r="A36" s="39"/>
      <c r="B36" s="3">
        <v>2040</v>
      </c>
      <c r="C36" s="102">
        <f>Y36*(Inputs_Summary!$E74/$Y54)</f>
        <v>34665.836593452441</v>
      </c>
      <c r="D36" s="102">
        <f>Z36*(Inputs_Summary!$E74/$Y54)</f>
        <v>13645.800504992376</v>
      </c>
      <c r="E36" s="102">
        <f>AA36*(Inputs_Summary!$E74/$Y54)</f>
        <v>2242.4987141336455</v>
      </c>
      <c r="F36" s="102">
        <f>AB36*(Inputs_Summary!$E74/$Y54)</f>
        <v>79.336049447630089</v>
      </c>
      <c r="G36" s="102">
        <f>AC36*(Inputs_Summary!$E74/$Y54)</f>
        <v>11373.174177144439</v>
      </c>
      <c r="H36" s="102">
        <f>AD36*(Inputs_Summary!$E74/$Y54)</f>
        <v>0</v>
      </c>
      <c r="I36" s="102">
        <f>AE36*(Inputs_Summary!$E74/$Y54)</f>
        <v>843.57318400011741</v>
      </c>
      <c r="J36" s="102">
        <f>AF36*(Inputs_Summary!$E74/$Y54)</f>
        <v>776.28818003820322</v>
      </c>
      <c r="K36" s="102">
        <f>AG36*(Inputs_Summary!$E74/$Y54)</f>
        <v>0</v>
      </c>
      <c r="L36" s="102">
        <f>AH36*(Inputs_Summary!$E74/$Y54)</f>
        <v>1613.8358412954626</v>
      </c>
      <c r="M36" s="102">
        <f>AI36*(Inputs_Summary!$E74/$Y54)</f>
        <v>0</v>
      </c>
      <c r="N36" s="102">
        <f>AJ36*(Inputs_Summary!$E74/$Y54)</f>
        <v>2930.4125606099315</v>
      </c>
      <c r="O36" s="102">
        <f>AK36*(Inputs_Summary!$E74/$Y54)</f>
        <v>0</v>
      </c>
      <c r="P36" s="56"/>
      <c r="Q36" s="39">
        <f>G36+N36</f>
        <v>14303.586737754371</v>
      </c>
      <c r="R36" s="5">
        <f>SUM(K36:L36)</f>
        <v>1613.8358412954626</v>
      </c>
      <c r="T36" s="5">
        <f t="shared" si="13"/>
        <v>68170.755805114241</v>
      </c>
      <c r="Y36" s="39">
        <v>34519</v>
      </c>
      <c r="Z36" s="39">
        <v>13588</v>
      </c>
      <c r="AA36" s="39">
        <v>2233</v>
      </c>
      <c r="AB36" s="39">
        <v>79</v>
      </c>
      <c r="AC36" s="39">
        <v>11325</v>
      </c>
      <c r="AD36" s="39">
        <v>0</v>
      </c>
      <c r="AE36" s="3">
        <v>840</v>
      </c>
      <c r="AF36" s="3">
        <v>773</v>
      </c>
      <c r="AG36" s="3">
        <v>0</v>
      </c>
      <c r="AH36" s="39">
        <v>1607</v>
      </c>
      <c r="AI36" s="3">
        <v>0</v>
      </c>
      <c r="AJ36" s="39">
        <v>2918</v>
      </c>
    </row>
    <row r="37" spans="1:37" x14ac:dyDescent="0.3">
      <c r="A37" s="39"/>
      <c r="B37" s="3">
        <v>2050</v>
      </c>
      <c r="C37" s="102">
        <f>Y37*(Inputs_Summary!$E75/$Y55)</f>
        <v>0</v>
      </c>
      <c r="D37" s="102">
        <f>Z37*(Inputs_Summary!$E75/$Y55)</f>
        <v>0</v>
      </c>
      <c r="E37" s="102">
        <f>AA37*(Inputs_Summary!$E75/$Y55)</f>
        <v>2246.0358453846052</v>
      </c>
      <c r="F37" s="102">
        <f>AB37*(Inputs_Summary!$E75/$Y55)</f>
        <v>0</v>
      </c>
      <c r="G37" s="102">
        <f>AC37*(Inputs_Summary!$E75/$Y55)</f>
        <v>10915.713854823414</v>
      </c>
      <c r="H37" s="102">
        <f>AD37*(Inputs_Summary!$E75/$Y55)</f>
        <v>0</v>
      </c>
      <c r="I37" s="102">
        <f>AE37*(Inputs_Summary!$E75/$Y55)</f>
        <v>0</v>
      </c>
      <c r="J37" s="102">
        <f>AF37*(Inputs_Summary!$E75/$Y55)</f>
        <v>0</v>
      </c>
      <c r="K37" s="102">
        <f>AG37*(Inputs_Summary!$E75/$Y55)</f>
        <v>0</v>
      </c>
      <c r="L37" s="102">
        <f>AH37*(Inputs_Summary!$E75/$Y55)</f>
        <v>1627.2819740688644</v>
      </c>
      <c r="M37" s="102">
        <f>AI37*(Inputs_Summary!$E75/$Y55)</f>
        <v>0</v>
      </c>
      <c r="N37" s="102">
        <f>AJ37*(Inputs_Summary!$E75/$Y55)</f>
        <v>2852.5774692401669</v>
      </c>
      <c r="O37" s="102">
        <f>AK37*(Inputs_Summary!$E75/$Y55)</f>
        <v>0</v>
      </c>
      <c r="P37" s="56"/>
      <c r="Q37" s="39">
        <f>G37+N37</f>
        <v>13768.291324063581</v>
      </c>
      <c r="R37" s="5">
        <f>SUM(K37:L37)</f>
        <v>1627.2819740688644</v>
      </c>
      <c r="T37" s="5">
        <f t="shared" si="13"/>
        <v>17641.609143517053</v>
      </c>
      <c r="Y37" s="39">
        <v>0</v>
      </c>
      <c r="Z37" s="39">
        <v>0</v>
      </c>
      <c r="AA37" s="39">
        <v>2207</v>
      </c>
      <c r="AB37" s="3">
        <v>0</v>
      </c>
      <c r="AC37" s="39">
        <v>10726</v>
      </c>
      <c r="AD37" s="39">
        <v>0</v>
      </c>
      <c r="AE37" s="3">
        <v>0</v>
      </c>
      <c r="AF37" s="3">
        <v>0</v>
      </c>
      <c r="AG37" s="3">
        <v>0</v>
      </c>
      <c r="AH37" s="39">
        <v>1599</v>
      </c>
      <c r="AI37" s="3">
        <v>0</v>
      </c>
      <c r="AJ37" s="39">
        <v>2803</v>
      </c>
    </row>
    <row r="38" spans="1:37" x14ac:dyDescent="0.3">
      <c r="A38" s="39"/>
      <c r="Q38" s="5"/>
      <c r="R38" s="5"/>
      <c r="S38" s="5"/>
      <c r="X38" s="39"/>
      <c r="Y38" s="39"/>
      <c r="Z38" s="39"/>
      <c r="AA38" s="39"/>
      <c r="AB38" s="39"/>
    </row>
    <row r="39" spans="1:37" ht="28.8" x14ac:dyDescent="0.3">
      <c r="A39" s="39"/>
      <c r="B39" s="43" t="s">
        <v>35</v>
      </c>
      <c r="C39" s="43" t="s">
        <v>0</v>
      </c>
      <c r="D39" s="43" t="s">
        <v>1</v>
      </c>
      <c r="E39" s="43" t="s">
        <v>28</v>
      </c>
      <c r="F39" s="2" t="s">
        <v>29</v>
      </c>
      <c r="G39" s="2" t="s">
        <v>6</v>
      </c>
      <c r="H39" s="43" t="s">
        <v>2</v>
      </c>
      <c r="I39" s="43" t="s">
        <v>3</v>
      </c>
      <c r="J39" s="43" t="s">
        <v>4</v>
      </c>
      <c r="K39" s="43" t="s">
        <v>9</v>
      </c>
      <c r="L39" s="43" t="s">
        <v>8</v>
      </c>
      <c r="M39" s="43" t="s">
        <v>25</v>
      </c>
      <c r="N39" s="43" t="s">
        <v>7</v>
      </c>
      <c r="O39" s="43" t="s">
        <v>89</v>
      </c>
      <c r="P39" s="25"/>
      <c r="Q39" s="43" t="s">
        <v>5</v>
      </c>
      <c r="R39" s="43" t="s">
        <v>91</v>
      </c>
      <c r="T39" s="43" t="s">
        <v>10</v>
      </c>
      <c r="X39" s="39"/>
      <c r="Y39" s="39"/>
      <c r="Z39" s="39"/>
    </row>
    <row r="40" spans="1:37" x14ac:dyDescent="0.3">
      <c r="A40" s="39"/>
      <c r="B40" s="3">
        <v>2016</v>
      </c>
      <c r="C40" s="102">
        <f>Y40*(Inputs_Summary!$E72/$Y52)</f>
        <v>0</v>
      </c>
      <c r="D40" s="102">
        <f>Z40*(Inputs_Summary!$E72/$Y52)</f>
        <v>0</v>
      </c>
      <c r="E40" s="102">
        <f>AA40*(Inputs_Summary!$E72/$Y52)</f>
        <v>0</v>
      </c>
      <c r="F40" s="102">
        <f>AB40*(Inputs_Summary!$E72/$Y52)</f>
        <v>0</v>
      </c>
      <c r="G40" s="102">
        <f>AC40*(Inputs_Summary!$E72/$Y52)</f>
        <v>0</v>
      </c>
      <c r="H40" s="102">
        <f>AD40*(Inputs_Summary!$E72/$Y52)</f>
        <v>0</v>
      </c>
      <c r="I40" s="102">
        <f>AE40*(Inputs_Summary!$E72/$Y52)</f>
        <v>0</v>
      </c>
      <c r="J40" s="102">
        <f>AF40*(Inputs_Summary!$E72/$Y52)</f>
        <v>0</v>
      </c>
      <c r="K40" s="102">
        <f>AG40*(Inputs_Summary!$E72/$Y52)</f>
        <v>0</v>
      </c>
      <c r="L40" s="102">
        <f>AH40*(Inputs_Summary!$E72/$Y52)</f>
        <v>0</v>
      </c>
      <c r="M40" s="102">
        <f>AI40*(Inputs_Summary!$E72/$Y52)</f>
        <v>0</v>
      </c>
      <c r="N40" s="102">
        <f>AJ40*(Inputs_Summary!$E72/$Y52)</f>
        <v>0</v>
      </c>
      <c r="O40" s="102">
        <f>AK40*(Inputs_Summary!$E72/$Y52)</f>
        <v>0</v>
      </c>
      <c r="P40" s="56"/>
      <c r="Q40" s="39">
        <f>G40+N40</f>
        <v>0</v>
      </c>
      <c r="R40" s="5">
        <f>SUM(K40:L40)</f>
        <v>0</v>
      </c>
      <c r="T40" s="5">
        <f>SUM(C40:O40)</f>
        <v>0</v>
      </c>
      <c r="X40" s="39"/>
      <c r="Y40" s="39"/>
      <c r="Z40" s="39"/>
      <c r="AA40" s="39"/>
      <c r="AB40" s="39"/>
    </row>
    <row r="41" spans="1:37" x14ac:dyDescent="0.3">
      <c r="A41" s="39"/>
      <c r="B41" s="3">
        <v>2030</v>
      </c>
      <c r="C41" s="102">
        <f>Y41*(Inputs_Summary!$E73/$Y53)</f>
        <v>65422.2040307793</v>
      </c>
      <c r="D41" s="102">
        <f>Z41*(Inputs_Summary!$E73/$Y53)</f>
        <v>0</v>
      </c>
      <c r="E41" s="102">
        <f>AA41*(Inputs_Summary!$E73/$Y53)</f>
        <v>0</v>
      </c>
      <c r="F41" s="102">
        <f>AB41*(Inputs_Summary!$E73/$Y53)</f>
        <v>0</v>
      </c>
      <c r="G41" s="102">
        <f>AC41*(Inputs_Summary!$E73/$Y53)</f>
        <v>194.81822528654266</v>
      </c>
      <c r="H41" s="102">
        <f>AD41*(Inputs_Summary!$E73/$Y53)</f>
        <v>8977.9582145138666</v>
      </c>
      <c r="I41" s="102">
        <f>AE41*(Inputs_Summary!$E73/$Y53)</f>
        <v>4208.4816624726436</v>
      </c>
      <c r="J41" s="102">
        <f>AF41*(Inputs_Summary!$E73/$Y53)</f>
        <v>2363.3184711461745</v>
      </c>
      <c r="K41" s="102">
        <f>AG41*(Inputs_Summary!$E73/$Y53)</f>
        <v>355.97675719897063</v>
      </c>
      <c r="L41" s="102">
        <f>AH41*(Inputs_Summary!$E73/$Y53)</f>
        <v>1019.9907083065061</v>
      </c>
      <c r="M41" s="102">
        <f>AI41*(Inputs_Summary!$E73/$Y53)</f>
        <v>0</v>
      </c>
      <c r="N41" s="102">
        <f>AJ41*(Inputs_Summary!$E73/$Y53)</f>
        <v>3044.6722642949208</v>
      </c>
      <c r="O41" s="102">
        <f>AK41*(Inputs_Summary!$E73/$Y53)</f>
        <v>0</v>
      </c>
      <c r="P41" s="56"/>
      <c r="Q41" s="39">
        <f>G41+N41</f>
        <v>3239.4904895814634</v>
      </c>
      <c r="R41" s="5">
        <f>SUM(K41:L41)</f>
        <v>1375.9674655054769</v>
      </c>
      <c r="T41" s="5">
        <f t="shared" ref="T41:T43" si="14">SUM(C41:O41)</f>
        <v>85587.420333998918</v>
      </c>
      <c r="Y41" s="39">
        <v>64140</v>
      </c>
      <c r="Z41" s="39">
        <v>0</v>
      </c>
      <c r="AA41" s="39">
        <v>0</v>
      </c>
      <c r="AB41" s="39">
        <v>0</v>
      </c>
      <c r="AC41" s="39">
        <v>191</v>
      </c>
      <c r="AD41" s="39">
        <v>8802</v>
      </c>
      <c r="AE41" s="39">
        <v>4126</v>
      </c>
      <c r="AF41" s="39">
        <v>2317</v>
      </c>
      <c r="AG41" s="3">
        <v>349</v>
      </c>
      <c r="AH41" s="39">
        <v>1000</v>
      </c>
      <c r="AI41" s="3">
        <v>0</v>
      </c>
      <c r="AJ41" s="39">
        <v>2985</v>
      </c>
    </row>
    <row r="42" spans="1:37" x14ac:dyDescent="0.3">
      <c r="A42" s="39"/>
      <c r="B42" s="3">
        <v>2040</v>
      </c>
      <c r="C42" s="102">
        <f>Y42*(Inputs_Summary!$E74/$Y54)</f>
        <v>61552.723325875231</v>
      </c>
      <c r="D42" s="102">
        <f>Z42*(Inputs_Summary!$E74/$Y54)</f>
        <v>0</v>
      </c>
      <c r="E42" s="102">
        <f>AA42*(Inputs_Summary!$E74/$Y54)</f>
        <v>0</v>
      </c>
      <c r="F42" s="102">
        <f>AB42*(Inputs_Summary!$E74/$Y54)</f>
        <v>0</v>
      </c>
      <c r="G42" s="102">
        <f>AC42*(Inputs_Summary!$E74/$Y54)</f>
        <v>197.83799672383705</v>
      </c>
      <c r="H42" s="102">
        <f>AD42*(Inputs_Summary!$E74/$Y54)</f>
        <v>0</v>
      </c>
      <c r="I42" s="102">
        <f>AE42*(Inputs_Summary!$E74/$Y54)</f>
        <v>4222.8871889529682</v>
      </c>
      <c r="J42" s="102">
        <f>AF42*(Inputs_Summary!$E74/$Y54)</f>
        <v>2377.0687220574737</v>
      </c>
      <c r="K42" s="102">
        <f>AG42*(Inputs_Summary!$E74/$Y54)</f>
        <v>356.51009561909723</v>
      </c>
      <c r="L42" s="102">
        <f>AH42*(Inputs_Summary!$E74/$Y54)</f>
        <v>1024.3388662858567</v>
      </c>
      <c r="M42" s="102">
        <f>AI42*(Inputs_Summary!$E74/$Y54)</f>
        <v>0</v>
      </c>
      <c r="N42" s="102">
        <f>AJ42*(Inputs_Summary!$E74/$Y54)</f>
        <v>3245.7482508194994</v>
      </c>
      <c r="O42" s="102">
        <f>AK42*(Inputs_Summary!$E74/$Y54)</f>
        <v>0</v>
      </c>
      <c r="P42" s="56"/>
      <c r="Q42" s="39">
        <f>G42+N42</f>
        <v>3443.5862475433364</v>
      </c>
      <c r="R42" s="5">
        <f>SUM(K42:L42)</f>
        <v>1380.848961904954</v>
      </c>
      <c r="T42" s="5">
        <f t="shared" si="14"/>
        <v>72977.114446333973</v>
      </c>
      <c r="Y42" s="39">
        <v>61292</v>
      </c>
      <c r="Z42" s="39">
        <v>0</v>
      </c>
      <c r="AA42" s="3">
        <v>0</v>
      </c>
      <c r="AB42" s="39">
        <v>0</v>
      </c>
      <c r="AC42" s="39">
        <v>197</v>
      </c>
      <c r="AD42" s="39">
        <v>0</v>
      </c>
      <c r="AE42" s="39">
        <v>4205</v>
      </c>
      <c r="AF42" s="39">
        <v>2367</v>
      </c>
      <c r="AG42" s="3">
        <v>355</v>
      </c>
      <c r="AH42" s="39">
        <v>1020</v>
      </c>
      <c r="AI42" s="3">
        <v>0</v>
      </c>
      <c r="AJ42" s="39">
        <v>3232</v>
      </c>
    </row>
    <row r="43" spans="1:37" x14ac:dyDescent="0.3">
      <c r="A43" s="39"/>
      <c r="B43" s="3">
        <v>2050</v>
      </c>
      <c r="C43" s="102">
        <f>Y43*(Inputs_Summary!$E75/$Y55)</f>
        <v>59676.1649014535</v>
      </c>
      <c r="D43" s="102">
        <f>Z43*(Inputs_Summary!$E75/$Y55)</f>
        <v>0</v>
      </c>
      <c r="E43" s="102">
        <f>AA43*(Inputs_Summary!$E75/$Y55)</f>
        <v>0</v>
      </c>
      <c r="F43" s="102">
        <f>AB43*(Inputs_Summary!$E75/$Y55)</f>
        <v>0</v>
      </c>
      <c r="G43" s="102">
        <f>AC43*(Inputs_Summary!$E75/$Y55)</f>
        <v>198.44902122791029</v>
      </c>
      <c r="H43" s="102">
        <f>AD43*(Inputs_Summary!$E75/$Y55)</f>
        <v>0</v>
      </c>
      <c r="I43" s="102">
        <f>AE43*(Inputs_Summary!$E75/$Y55)</f>
        <v>0</v>
      </c>
      <c r="J43" s="102">
        <f>AF43*(Inputs_Summary!$E75/$Y55)</f>
        <v>0</v>
      </c>
      <c r="K43" s="102">
        <f>AG43*(Inputs_Summary!$E75/$Y55)</f>
        <v>0</v>
      </c>
      <c r="L43" s="102">
        <f>AH43*(Inputs_Summary!$E75/$Y55)</f>
        <v>0</v>
      </c>
      <c r="M43" s="102">
        <f>AI43*(Inputs_Summary!$E75/$Y55)</f>
        <v>0</v>
      </c>
      <c r="N43" s="102">
        <f>AJ43*(Inputs_Summary!$E75/$Y55)</f>
        <v>3119.2115387874105</v>
      </c>
      <c r="O43" s="102">
        <f>AK43*(Inputs_Summary!$E75/$Y55)</f>
        <v>0</v>
      </c>
      <c r="P43" s="56"/>
      <c r="Q43" s="39">
        <f>G43+N43</f>
        <v>3317.6605600153207</v>
      </c>
      <c r="R43" s="5">
        <f>SUM(K43:L43)</f>
        <v>0</v>
      </c>
      <c r="T43" s="5">
        <f t="shared" si="14"/>
        <v>62993.825461468819</v>
      </c>
      <c r="X43" s="39"/>
      <c r="Y43" s="39">
        <v>58639</v>
      </c>
      <c r="Z43" s="39">
        <v>0</v>
      </c>
      <c r="AA43" s="3">
        <v>0</v>
      </c>
      <c r="AB43" s="3">
        <v>0</v>
      </c>
      <c r="AC43" s="39">
        <v>195</v>
      </c>
      <c r="AD43" s="39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9">
        <v>3065</v>
      </c>
    </row>
    <row r="44" spans="1:37" x14ac:dyDescent="0.3">
      <c r="A44" s="39"/>
      <c r="Q44" s="5"/>
      <c r="R44" s="5"/>
      <c r="S44" s="5"/>
      <c r="X44" s="39"/>
      <c r="Y44" s="39"/>
      <c r="Z44" s="39"/>
      <c r="AA44" s="39"/>
      <c r="AB44" s="39"/>
    </row>
    <row r="45" spans="1:37" ht="28.8" x14ac:dyDescent="0.3">
      <c r="A45" s="39"/>
      <c r="B45" s="43" t="s">
        <v>36</v>
      </c>
      <c r="C45" s="43" t="s">
        <v>0</v>
      </c>
      <c r="D45" s="43" t="s">
        <v>1</v>
      </c>
      <c r="E45" s="43" t="s">
        <v>28</v>
      </c>
      <c r="F45" s="2" t="s">
        <v>29</v>
      </c>
      <c r="G45" s="2" t="s">
        <v>6</v>
      </c>
      <c r="H45" s="43" t="s">
        <v>2</v>
      </c>
      <c r="I45" s="43" t="s">
        <v>3</v>
      </c>
      <c r="J45" s="43" t="s">
        <v>4</v>
      </c>
      <c r="K45" s="43" t="s">
        <v>9</v>
      </c>
      <c r="L45" s="43" t="s">
        <v>8</v>
      </c>
      <c r="M45" s="43" t="s">
        <v>25</v>
      </c>
      <c r="N45" s="43" t="s">
        <v>7</v>
      </c>
      <c r="O45" s="43" t="s">
        <v>89</v>
      </c>
      <c r="P45" s="25"/>
      <c r="Q45" s="43" t="s">
        <v>5</v>
      </c>
      <c r="R45" s="43" t="s">
        <v>91</v>
      </c>
      <c r="T45" s="43" t="s">
        <v>10</v>
      </c>
      <c r="X45" s="39"/>
      <c r="Y45" s="39"/>
      <c r="Z45" s="39"/>
      <c r="AB45" s="39"/>
      <c r="AC45" s="39"/>
      <c r="AD45" s="39"/>
    </row>
    <row r="46" spans="1:37" x14ac:dyDescent="0.3">
      <c r="A46" s="39"/>
      <c r="B46" s="3">
        <v>2016</v>
      </c>
      <c r="C46" s="102">
        <f>Y46*(Inputs_Summary!$E72/$Y52)</f>
        <v>0</v>
      </c>
      <c r="D46" s="102">
        <f>Z46*(Inputs_Summary!$E72/$Y52)</f>
        <v>0</v>
      </c>
      <c r="E46" s="102">
        <f>AA46*(Inputs_Summary!$E72/$Y52)</f>
        <v>0</v>
      </c>
      <c r="F46" s="102">
        <f>AB46*(Inputs_Summary!$E72/$Y52)</f>
        <v>0</v>
      </c>
      <c r="G46" s="102">
        <f>AC46*(Inputs_Summary!$E72/$Y52)</f>
        <v>0</v>
      </c>
      <c r="H46" s="102">
        <f>AD46*(Inputs_Summary!$E72/$Y52)</f>
        <v>0</v>
      </c>
      <c r="I46" s="102">
        <f>AE46*(Inputs_Summary!$E72/$Y52)</f>
        <v>0</v>
      </c>
      <c r="J46" s="102">
        <f>AF46*(Inputs_Summary!$E72/$Y52)</f>
        <v>0</v>
      </c>
      <c r="K46" s="102">
        <f>AG46*(Inputs_Summary!$E72/$Y52)</f>
        <v>0</v>
      </c>
      <c r="L46" s="102">
        <f>AH46*(Inputs_Summary!$E72/$Y52)</f>
        <v>0</v>
      </c>
      <c r="M46" s="102">
        <v>0</v>
      </c>
      <c r="N46" s="102">
        <f>AJ46*(Inputs_Summary!$E72/$Y52)</f>
        <v>0</v>
      </c>
      <c r="O46" s="102">
        <f>AK46*(Inputs_Summary!$E72/$Y52)</f>
        <v>0</v>
      </c>
      <c r="P46" s="56"/>
      <c r="Q46" s="39">
        <f>G46+N46</f>
        <v>0</v>
      </c>
      <c r="R46" s="5">
        <f>SUM(K46:L46)</f>
        <v>0</v>
      </c>
      <c r="T46" s="5">
        <f>SUM(C46:O46)</f>
        <v>0</v>
      </c>
      <c r="X46" s="39"/>
      <c r="Y46" s="39"/>
      <c r="Z46" s="39"/>
      <c r="AA46" s="39"/>
      <c r="AC46" s="39"/>
      <c r="AD46" s="39"/>
    </row>
    <row r="47" spans="1:37" x14ac:dyDescent="0.3">
      <c r="A47" s="39"/>
      <c r="B47" s="3">
        <v>2030</v>
      </c>
      <c r="C47" s="102">
        <f>Y47*(Inputs_Summary!$E73/$Y53)</f>
        <v>0</v>
      </c>
      <c r="D47" s="102">
        <f>Z47*(Inputs_Summary!$E73/$Y53)</f>
        <v>0</v>
      </c>
      <c r="E47" s="102">
        <f>AA47*(Inputs_Summary!$E73/$Y53)</f>
        <v>6244.3831162524302</v>
      </c>
      <c r="F47" s="102">
        <f>AB47*(Inputs_Summary!$E73/$Y53)</f>
        <v>3711.7461875273757</v>
      </c>
      <c r="G47" s="102">
        <f>AC47*(Inputs_Summary!$E73/$Y53)</f>
        <v>0</v>
      </c>
      <c r="H47" s="102">
        <f>AD47*(Inputs_Summary!$E73/$Y53)</f>
        <v>67141.908364984061</v>
      </c>
      <c r="I47" s="102">
        <f>AE47*(Inputs_Summary!$E73/$Y53)</f>
        <v>0</v>
      </c>
      <c r="J47" s="102">
        <f>AF47*(Inputs_Summary!$E73/$Y53)</f>
        <v>22182.757924249894</v>
      </c>
      <c r="K47" s="102">
        <f>AG47*(Inputs_Summary!$E73/$Y53)</f>
        <v>0</v>
      </c>
      <c r="L47" s="102">
        <f>AH47*(Inputs_Summary!$E73/$Y53)</f>
        <v>0</v>
      </c>
      <c r="M47" s="102">
        <v>0</v>
      </c>
      <c r="N47" s="102">
        <f>AJ47*(Inputs_Summary!$E73/$Y53)</f>
        <v>0</v>
      </c>
      <c r="O47" s="102">
        <f>AK47*(Inputs_Summary!$E73/$Y53)</f>
        <v>0</v>
      </c>
      <c r="P47" s="56"/>
      <c r="Q47" s="39">
        <f>G47+N47</f>
        <v>0</v>
      </c>
      <c r="R47" s="5">
        <f>SUM(K47:L47)</f>
        <v>0</v>
      </c>
      <c r="T47" s="5">
        <f t="shared" ref="T47:T49" si="15">SUM(C47:O47)</f>
        <v>99280.795593013754</v>
      </c>
      <c r="Y47" s="39">
        <v>0</v>
      </c>
      <c r="Z47" s="39">
        <v>0</v>
      </c>
      <c r="AA47" s="39">
        <v>6122</v>
      </c>
      <c r="AB47" s="39">
        <v>3639</v>
      </c>
      <c r="AC47" s="3">
        <v>0</v>
      </c>
      <c r="AD47" s="39">
        <v>65826</v>
      </c>
      <c r="AE47" s="3">
        <v>0</v>
      </c>
      <c r="AF47" s="39">
        <v>21748</v>
      </c>
      <c r="AG47" s="3">
        <v>0</v>
      </c>
      <c r="AH47" s="3">
        <v>0</v>
      </c>
      <c r="AI47" s="39">
        <v>2971</v>
      </c>
      <c r="AJ47" s="3">
        <v>0</v>
      </c>
      <c r="AK47" s="39"/>
    </row>
    <row r="48" spans="1:37" x14ac:dyDescent="0.3">
      <c r="A48" s="39"/>
      <c r="B48" s="3">
        <v>2040</v>
      </c>
      <c r="C48" s="102">
        <f>Y48*(Inputs_Summary!$E74/$Y54)</f>
        <v>0</v>
      </c>
      <c r="D48" s="102">
        <f>Z48*(Inputs_Summary!$E74/$Y54)</f>
        <v>0</v>
      </c>
      <c r="E48" s="102">
        <f>AA48*(Inputs_Summary!$E74/$Y54)</f>
        <v>25015.961920765385</v>
      </c>
      <c r="F48" s="102">
        <f>AB48*(Inputs_Summary!$E74/$Y54)</f>
        <v>9757.3298282680244</v>
      </c>
      <c r="G48" s="102">
        <f>AC48*(Inputs_Summary!$E74/$Y54)</f>
        <v>0</v>
      </c>
      <c r="H48" s="102">
        <f>AD48*(Inputs_Summary!$E74/$Y54)</f>
        <v>175919.15349290066</v>
      </c>
      <c r="I48" s="102">
        <f>AE48*(Inputs_Summary!$E74/$Y54)</f>
        <v>0</v>
      </c>
      <c r="J48" s="102">
        <f>AF48*(Inputs_Summary!$E74/$Y54)</f>
        <v>83127.107506678236</v>
      </c>
      <c r="K48" s="102">
        <f>AG48*(Inputs_Summary!$E74/$Y54)</f>
        <v>1513.4104622478296</v>
      </c>
      <c r="L48" s="102">
        <f>AH48*(Inputs_Summary!$E74/$Y54)</f>
        <v>0</v>
      </c>
      <c r="M48" s="102">
        <v>0</v>
      </c>
      <c r="N48" s="102">
        <f>AJ48*(Inputs_Summary!$E74/$Y54)</f>
        <v>0</v>
      </c>
      <c r="O48" s="102">
        <f>AK48*(Inputs_Summary!$E74/$Y54)</f>
        <v>0</v>
      </c>
      <c r="P48" s="56"/>
      <c r="Q48" s="39">
        <f>G48+N48</f>
        <v>0</v>
      </c>
      <c r="R48" s="5">
        <f>SUM(K48:L48)</f>
        <v>1513.4104622478296</v>
      </c>
      <c r="T48" s="5">
        <f t="shared" si="15"/>
        <v>295332.96321086015</v>
      </c>
      <c r="Y48" s="39">
        <v>0</v>
      </c>
      <c r="Z48" s="39">
        <v>0</v>
      </c>
      <c r="AA48" s="39">
        <v>24910</v>
      </c>
      <c r="AB48" s="39">
        <v>9716</v>
      </c>
      <c r="AC48" s="39">
        <v>0</v>
      </c>
      <c r="AD48" s="39">
        <v>175174</v>
      </c>
      <c r="AE48" s="3">
        <v>0</v>
      </c>
      <c r="AF48" s="39">
        <v>82775</v>
      </c>
      <c r="AG48" s="39">
        <v>1507</v>
      </c>
      <c r="AH48" s="3">
        <v>0</v>
      </c>
      <c r="AI48" s="39">
        <v>12959</v>
      </c>
      <c r="AJ48" s="3">
        <v>0</v>
      </c>
      <c r="AK48" s="39"/>
    </row>
    <row r="49" spans="1:37" x14ac:dyDescent="0.3">
      <c r="A49" s="39"/>
      <c r="B49" s="3">
        <v>2050</v>
      </c>
      <c r="C49" s="102">
        <f>Y49*(Inputs_Summary!$E75/$Y55)</f>
        <v>0</v>
      </c>
      <c r="D49" s="102">
        <f>Z49*(Inputs_Summary!$E75/$Y55)</f>
        <v>0</v>
      </c>
      <c r="E49" s="102">
        <f>AA49*(Inputs_Summary!$E75/$Y55)</f>
        <v>52832.217887311461</v>
      </c>
      <c r="F49" s="102">
        <f>AB49*(Inputs_Summary!$E75/$Y55)</f>
        <v>12530.783581432101</v>
      </c>
      <c r="G49" s="102">
        <f>AC49*(Inputs_Summary!$E75/$Y55)</f>
        <v>15593.004632072008</v>
      </c>
      <c r="H49" s="102">
        <f>AD49*(Inputs_Summary!$E75/$Y55)</f>
        <v>256969.09336980019</v>
      </c>
      <c r="I49" s="102">
        <f>AE49*(Inputs_Summary!$E75/$Y55)</f>
        <v>0</v>
      </c>
      <c r="J49" s="102">
        <f>AF49*(Inputs_Summary!$E75/$Y55)</f>
        <v>109342.35763471352</v>
      </c>
      <c r="K49" s="102">
        <f>AG49*(Inputs_Summary!$E75/$Y55)</f>
        <v>1441.0452003011333</v>
      </c>
      <c r="L49" s="102">
        <f>AH49*(Inputs_Summary!$E75/$Y55)</f>
        <v>0</v>
      </c>
      <c r="M49" s="102">
        <v>0</v>
      </c>
      <c r="N49" s="102">
        <f>AJ49*(Inputs_Summary!$E75/$Y55)</f>
        <v>0</v>
      </c>
      <c r="O49" s="102">
        <f>AK49*(Inputs_Summary!$E75/$Y55)</f>
        <v>0</v>
      </c>
      <c r="P49" s="56"/>
      <c r="Q49" s="39">
        <f>G49+N49</f>
        <v>15593.004632072008</v>
      </c>
      <c r="R49" s="5">
        <f>SUM(K49:L49)</f>
        <v>1441.0452003011333</v>
      </c>
      <c r="T49" s="5">
        <f t="shared" si="15"/>
        <v>448708.50230563042</v>
      </c>
      <c r="Y49" s="3">
        <v>0</v>
      </c>
      <c r="Z49" s="39">
        <v>0</v>
      </c>
      <c r="AA49" s="39">
        <v>51914</v>
      </c>
      <c r="AB49" s="39">
        <v>12313</v>
      </c>
      <c r="AC49" s="39">
        <v>15322</v>
      </c>
      <c r="AD49" s="39">
        <v>252503</v>
      </c>
      <c r="AE49" s="3">
        <v>0</v>
      </c>
      <c r="AF49" s="39">
        <v>107442</v>
      </c>
      <c r="AG49" s="39">
        <v>1416</v>
      </c>
      <c r="AH49" s="3">
        <v>0</v>
      </c>
      <c r="AI49" s="39">
        <v>12082</v>
      </c>
      <c r="AJ49" s="39">
        <v>0</v>
      </c>
      <c r="AK49" s="39"/>
    </row>
    <row r="50" spans="1:37" x14ac:dyDescent="0.3">
      <c r="A50" s="39"/>
    </row>
    <row r="51" spans="1:37" ht="28.8" x14ac:dyDescent="0.3">
      <c r="A51" s="39"/>
      <c r="B51" s="43" t="s">
        <v>13</v>
      </c>
      <c r="C51" s="43" t="s">
        <v>0</v>
      </c>
      <c r="D51" s="43" t="s">
        <v>1</v>
      </c>
      <c r="E51" s="43" t="s">
        <v>28</v>
      </c>
      <c r="F51" s="2" t="s">
        <v>29</v>
      </c>
      <c r="G51" s="2" t="s">
        <v>6</v>
      </c>
      <c r="H51" s="43" t="s">
        <v>2</v>
      </c>
      <c r="I51" s="43" t="s">
        <v>3</v>
      </c>
      <c r="J51" s="43" t="s">
        <v>4</v>
      </c>
      <c r="K51" s="43" t="s">
        <v>9</v>
      </c>
      <c r="L51" s="43" t="s">
        <v>8</v>
      </c>
      <c r="M51" s="43" t="s">
        <v>25</v>
      </c>
      <c r="N51" s="43" t="s">
        <v>7</v>
      </c>
      <c r="O51" s="43" t="s">
        <v>89</v>
      </c>
      <c r="P51" s="25"/>
      <c r="Q51" s="43" t="s">
        <v>5</v>
      </c>
      <c r="R51" s="43" t="s">
        <v>91</v>
      </c>
      <c r="T51" s="43" t="s">
        <v>10</v>
      </c>
      <c r="U51" s="43"/>
      <c r="V51" s="43"/>
      <c r="W51" s="43" t="s">
        <v>16</v>
      </c>
      <c r="X51" s="43" t="s">
        <v>15</v>
      </c>
    </row>
    <row r="52" spans="1:37" x14ac:dyDescent="0.3">
      <c r="A52" s="39">
        <f>C52-C46</f>
        <v>194808.80434990322</v>
      </c>
      <c r="B52" s="3">
        <v>2016</v>
      </c>
      <c r="C52" s="50">
        <f>C34+C40+C46</f>
        <v>194808.80434990322</v>
      </c>
      <c r="D52" s="50">
        <f t="shared" ref="D52:O55" si="16">D34+D40+D46</f>
        <v>14743.87884401034</v>
      </c>
      <c r="E52" s="50">
        <f t="shared" si="16"/>
        <v>756.07675598824017</v>
      </c>
      <c r="F52" s="50">
        <f t="shared" si="16"/>
        <v>2024.3136712665919</v>
      </c>
      <c r="G52" s="50">
        <f t="shared" si="16"/>
        <v>15799.124268819065</v>
      </c>
      <c r="H52" s="50">
        <f t="shared" si="16"/>
        <v>4022.2162852660199</v>
      </c>
      <c r="I52" s="50">
        <f t="shared" si="16"/>
        <v>827.66992563012559</v>
      </c>
      <c r="J52" s="50">
        <f t="shared" si="16"/>
        <v>2639.0862346009021</v>
      </c>
      <c r="K52" s="50">
        <f t="shared" si="16"/>
        <v>0</v>
      </c>
      <c r="L52" s="50">
        <f t="shared" si="16"/>
        <v>1583.7347303540462</v>
      </c>
      <c r="M52" s="50">
        <f t="shared" si="16"/>
        <v>0</v>
      </c>
      <c r="N52" s="50">
        <f t="shared" si="16"/>
        <v>2994.3929759978951</v>
      </c>
      <c r="O52" s="50">
        <f t="shared" si="16"/>
        <v>0</v>
      </c>
      <c r="P52" s="56"/>
      <c r="Q52" s="39">
        <f>G52+N52</f>
        <v>18793.517244816961</v>
      </c>
      <c r="R52" s="5">
        <f>SUM(K52:L52)</f>
        <v>1583.7347303540462</v>
      </c>
      <c r="T52" s="5">
        <f>SUM(C52:O52)</f>
        <v>240199.29804183645</v>
      </c>
      <c r="W52" s="18">
        <f>SUM(G52:L52)</f>
        <v>24871.831444670155</v>
      </c>
      <c r="X52" s="23">
        <f>W52/Inputs_Summary!H72</f>
        <v>0.10273922781756209</v>
      </c>
      <c r="Y52" s="39">
        <v>240333.53100000005</v>
      </c>
      <c r="Z52" s="39"/>
    </row>
    <row r="53" spans="1:37" x14ac:dyDescent="0.3">
      <c r="A53" s="39">
        <f t="shared" ref="A53:A55" si="17">C53-C47</f>
        <v>190519.98444173904</v>
      </c>
      <c r="B53" s="3">
        <v>2030</v>
      </c>
      <c r="C53" s="50">
        <f t="shared" ref="C53:N55" si="18">C35+C41+C47</f>
        <v>190519.98444173904</v>
      </c>
      <c r="D53" s="50">
        <f t="shared" si="18"/>
        <v>14521.607714159727</v>
      </c>
      <c r="E53" s="50">
        <f t="shared" si="18"/>
        <v>8460.8229254024682</v>
      </c>
      <c r="F53" s="50">
        <f t="shared" si="18"/>
        <v>3870.8647380231905</v>
      </c>
      <c r="G53" s="50">
        <f t="shared" si="18"/>
        <v>12437.766697089535</v>
      </c>
      <c r="H53" s="50">
        <f t="shared" si="18"/>
        <v>80306.92843709614</v>
      </c>
      <c r="I53" s="50">
        <f t="shared" si="18"/>
        <v>5048.9540061172047</v>
      </c>
      <c r="J53" s="50">
        <f t="shared" si="18"/>
        <v>27169.492497160401</v>
      </c>
      <c r="K53" s="50">
        <f t="shared" si="18"/>
        <v>355.97675719897063</v>
      </c>
      <c r="L53" s="50">
        <f t="shared" si="18"/>
        <v>2588.7364176819124</v>
      </c>
      <c r="M53" s="50">
        <f t="shared" si="18"/>
        <v>0</v>
      </c>
      <c r="N53" s="50">
        <f t="shared" si="18"/>
        <v>5779.2673532646641</v>
      </c>
      <c r="O53" s="50">
        <f t="shared" si="16"/>
        <v>0</v>
      </c>
      <c r="P53" s="56"/>
      <c r="Q53" s="39">
        <f>G53+N53</f>
        <v>18217.034050354199</v>
      </c>
      <c r="R53" s="5">
        <f>SUM(K53:L53)</f>
        <v>2944.7131748808829</v>
      </c>
      <c r="T53" s="5">
        <f t="shared" ref="T53:T55" si="19">SUM(C53:O53)</f>
        <v>351060.40198493324</v>
      </c>
      <c r="W53" s="18">
        <f>SUM(G53:L53)</f>
        <v>127907.85481234416</v>
      </c>
      <c r="X53" s="23">
        <f>W53/Inputs_Summary!H73</f>
        <v>0.37233603901965534</v>
      </c>
      <c r="Y53" s="39">
        <v>336795.22489999997</v>
      </c>
      <c r="AA53" s="39"/>
    </row>
    <row r="54" spans="1:37" x14ac:dyDescent="0.3">
      <c r="A54" s="39">
        <f t="shared" si="17"/>
        <v>96218.559919327672</v>
      </c>
      <c r="B54" s="3">
        <v>2040</v>
      </c>
      <c r="C54" s="50">
        <f t="shared" si="18"/>
        <v>96218.559919327672</v>
      </c>
      <c r="D54" s="50">
        <f t="shared" si="18"/>
        <v>13645.800504992376</v>
      </c>
      <c r="E54" s="50">
        <f t="shared" si="18"/>
        <v>27258.460634899031</v>
      </c>
      <c r="F54" s="50">
        <f t="shared" si="18"/>
        <v>9836.6658777156536</v>
      </c>
      <c r="G54" s="50">
        <f t="shared" si="18"/>
        <v>11571.012173868277</v>
      </c>
      <c r="H54" s="50">
        <f t="shared" si="18"/>
        <v>175919.15349290066</v>
      </c>
      <c r="I54" s="50">
        <f t="shared" si="18"/>
        <v>5066.4603729530854</v>
      </c>
      <c r="J54" s="50">
        <f t="shared" si="18"/>
        <v>86280.464408773914</v>
      </c>
      <c r="K54" s="50">
        <f t="shared" si="18"/>
        <v>1869.9205578669269</v>
      </c>
      <c r="L54" s="50">
        <f t="shared" si="18"/>
        <v>2638.1747075813191</v>
      </c>
      <c r="M54" s="50">
        <f t="shared" si="18"/>
        <v>0</v>
      </c>
      <c r="N54" s="50">
        <f t="shared" si="18"/>
        <v>6176.1608114294304</v>
      </c>
      <c r="O54" s="50">
        <f t="shared" si="16"/>
        <v>0</v>
      </c>
      <c r="P54" s="56"/>
      <c r="Q54" s="39">
        <f>G54+N54</f>
        <v>17747.172985297708</v>
      </c>
      <c r="R54" s="5">
        <f>SUM(K54:L54)</f>
        <v>4508.0952654482462</v>
      </c>
      <c r="T54" s="5">
        <f t="shared" si="19"/>
        <v>436480.83346230839</v>
      </c>
      <c r="W54" s="18">
        <f>SUM(G54:L54)</f>
        <v>283345.1857139442</v>
      </c>
      <c r="X54" s="23">
        <f>W54/Inputs_Summary!H74</f>
        <v>0.66135547080847135</v>
      </c>
      <c r="Y54" s="39">
        <v>426616.26380000002</v>
      </c>
      <c r="AB54" s="39"/>
      <c r="AD54" s="39"/>
    </row>
    <row r="55" spans="1:37" x14ac:dyDescent="0.3">
      <c r="A55" s="39">
        <f t="shared" si="17"/>
        <v>59676.1649014535</v>
      </c>
      <c r="B55" s="3">
        <v>2050</v>
      </c>
      <c r="C55" s="50">
        <f t="shared" si="18"/>
        <v>59676.1649014535</v>
      </c>
      <c r="D55" s="50">
        <f t="shared" si="18"/>
        <v>0</v>
      </c>
      <c r="E55" s="50">
        <f t="shared" si="18"/>
        <v>55078.253732696066</v>
      </c>
      <c r="F55" s="50">
        <f t="shared" si="18"/>
        <v>12530.783581432101</v>
      </c>
      <c r="G55" s="50">
        <f t="shared" si="18"/>
        <v>26707.167508123333</v>
      </c>
      <c r="H55" s="50">
        <f t="shared" si="18"/>
        <v>256969.09336980019</v>
      </c>
      <c r="I55" s="50">
        <f t="shared" si="18"/>
        <v>0</v>
      </c>
      <c r="J55" s="50">
        <f t="shared" si="18"/>
        <v>109342.35763471352</v>
      </c>
      <c r="K55" s="50">
        <f t="shared" si="18"/>
        <v>1441.0452003011333</v>
      </c>
      <c r="L55" s="50">
        <f t="shared" si="18"/>
        <v>1627.2819740688644</v>
      </c>
      <c r="M55" s="50">
        <f t="shared" si="18"/>
        <v>0</v>
      </c>
      <c r="N55" s="50">
        <f t="shared" si="18"/>
        <v>5971.7890080275774</v>
      </c>
      <c r="O55" s="50">
        <f t="shared" si="16"/>
        <v>0</v>
      </c>
      <c r="P55" s="56"/>
      <c r="Q55" s="39">
        <f>G55+N55</f>
        <v>32678.956516150909</v>
      </c>
      <c r="R55" s="5">
        <f>SUM(K55:L55)</f>
        <v>3068.3271743699979</v>
      </c>
      <c r="T55" s="5">
        <f t="shared" si="19"/>
        <v>529343.93691061623</v>
      </c>
      <c r="W55" s="18">
        <f>SUM(G55:L55)</f>
        <v>396086.94568700704</v>
      </c>
      <c r="X55" s="23">
        <f>W55/Inputs_Summary!H75</f>
        <v>0.75942883870666034</v>
      </c>
      <c r="Y55" s="39">
        <v>512494.36440000002</v>
      </c>
    </row>
    <row r="57" spans="1:37" x14ac:dyDescent="0.3">
      <c r="B57" s="3">
        <v>2016</v>
      </c>
      <c r="C57" s="23">
        <f t="shared" ref="C57:O60" si="20">IFERROR(C52/$T52,0)</f>
        <v>0.81102986535777721</v>
      </c>
      <c r="D57" s="23">
        <f t="shared" si="20"/>
        <v>6.1381856500855973E-2</v>
      </c>
      <c r="E57" s="23">
        <f t="shared" si="20"/>
        <v>3.1477059348297984E-3</v>
      </c>
      <c r="F57" s="23">
        <f t="shared" si="20"/>
        <v>8.4276419114014609E-3</v>
      </c>
      <c r="G57" s="23">
        <f t="shared" si="20"/>
        <v>6.5775064280442941E-2</v>
      </c>
      <c r="H57" s="23">
        <f t="shared" si="20"/>
        <v>1.6745329058228366E-2</v>
      </c>
      <c r="I57" s="23">
        <f t="shared" si="20"/>
        <v>3.445763298966707E-3</v>
      </c>
      <c r="J57" s="23">
        <f t="shared" si="20"/>
        <v>1.0987068888691099E-2</v>
      </c>
      <c r="K57" s="23">
        <f t="shared" si="20"/>
        <v>0</v>
      </c>
      <c r="L57" s="23">
        <f t="shared" si="20"/>
        <v>6.5934194781793283E-3</v>
      </c>
      <c r="M57" s="23">
        <f t="shared" si="20"/>
        <v>0</v>
      </c>
      <c r="N57" s="23">
        <f t="shared" si="20"/>
        <v>1.2466285290627077E-2</v>
      </c>
      <c r="O57" s="23">
        <f t="shared" si="20"/>
        <v>0</v>
      </c>
      <c r="P57" s="26"/>
      <c r="Q57" s="7">
        <f t="shared" ref="Q57:R60" si="21">Q52/$T52</f>
        <v>7.8241349571070026E-2</v>
      </c>
      <c r="R57" s="7">
        <f t="shared" si="21"/>
        <v>6.5934194781793283E-3</v>
      </c>
      <c r="T57" s="8">
        <f>SUM(C57:O57)</f>
        <v>0.99999999999999989</v>
      </c>
    </row>
    <row r="58" spans="1:37" x14ac:dyDescent="0.3">
      <c r="B58" s="3">
        <v>2030</v>
      </c>
      <c r="C58" s="23">
        <f t="shared" si="20"/>
        <v>0.54269858794816672</v>
      </c>
      <c r="D58" s="23">
        <f t="shared" si="20"/>
        <v>4.1364983438898252E-2</v>
      </c>
      <c r="E58" s="23">
        <f t="shared" si="20"/>
        <v>2.4100761229589172E-2</v>
      </c>
      <c r="F58" s="23">
        <f t="shared" si="20"/>
        <v>1.1026207217153815E-2</v>
      </c>
      <c r="G58" s="23">
        <f t="shared" si="20"/>
        <v>3.5429135917252601E-2</v>
      </c>
      <c r="H58" s="23">
        <f t="shared" si="20"/>
        <v>0.22875530245801615</v>
      </c>
      <c r="I58" s="23">
        <f t="shared" si="20"/>
        <v>1.4382009413678889E-2</v>
      </c>
      <c r="J58" s="23">
        <f t="shared" si="20"/>
        <v>7.7392643384275678E-2</v>
      </c>
      <c r="K58" s="23">
        <f t="shared" si="20"/>
        <v>1.0140043000755419E-3</v>
      </c>
      <c r="L58" s="23">
        <f t="shared" si="20"/>
        <v>7.3740484630135401E-3</v>
      </c>
      <c r="M58" s="23">
        <f t="shared" si="20"/>
        <v>0</v>
      </c>
      <c r="N58" s="23">
        <f t="shared" si="20"/>
        <v>1.6462316229879717E-2</v>
      </c>
      <c r="O58" s="23">
        <f t="shared" si="20"/>
        <v>0</v>
      </c>
      <c r="P58" s="26"/>
      <c r="Q58" s="7">
        <f t="shared" si="21"/>
        <v>5.1891452147132318E-2</v>
      </c>
      <c r="R58" s="7">
        <f t="shared" si="21"/>
        <v>8.3880527630890815E-3</v>
      </c>
      <c r="T58" s="8">
        <f t="shared" ref="T58:T60" si="22">SUM(C58:O58)</f>
        <v>1.0000000000000002</v>
      </c>
    </row>
    <row r="59" spans="1:37" x14ac:dyDescent="0.3">
      <c r="B59" s="3">
        <v>2040</v>
      </c>
      <c r="C59" s="23">
        <f t="shared" si="20"/>
        <v>0.22044166099136739</v>
      </c>
      <c r="D59" s="23">
        <f t="shared" si="20"/>
        <v>3.1263229582727453E-2</v>
      </c>
      <c r="E59" s="23">
        <f t="shared" si="20"/>
        <v>6.2450532864584289E-2</v>
      </c>
      <c r="F59" s="23">
        <f t="shared" si="20"/>
        <v>2.2536306576598129E-2</v>
      </c>
      <c r="G59" s="23">
        <f t="shared" si="20"/>
        <v>2.6509782988827328E-2</v>
      </c>
      <c r="H59" s="23">
        <f t="shared" si="20"/>
        <v>0.4030398129912201</v>
      </c>
      <c r="I59" s="23">
        <f t="shared" si="20"/>
        <v>1.1607520845220782E-2</v>
      </c>
      <c r="J59" s="23">
        <f t="shared" si="20"/>
        <v>0.19767297391816524</v>
      </c>
      <c r="K59" s="23">
        <f t="shared" si="20"/>
        <v>4.2840840066999206E-3</v>
      </c>
      <c r="L59" s="23">
        <f t="shared" si="20"/>
        <v>6.0441937087006925E-3</v>
      </c>
      <c r="M59" s="23">
        <f t="shared" si="20"/>
        <v>0</v>
      </c>
      <c r="N59" s="23">
        <f t="shared" si="20"/>
        <v>1.4149901525888565E-2</v>
      </c>
      <c r="O59" s="23">
        <f t="shared" si="20"/>
        <v>0</v>
      </c>
      <c r="P59" s="26"/>
      <c r="Q59" s="7">
        <f t="shared" si="21"/>
        <v>4.0659684514715896E-2</v>
      </c>
      <c r="R59" s="7">
        <f t="shared" si="21"/>
        <v>1.0328277715400614E-2</v>
      </c>
      <c r="T59" s="8">
        <f t="shared" si="22"/>
        <v>0.99999999999999978</v>
      </c>
    </row>
    <row r="60" spans="1:37" x14ac:dyDescent="0.3">
      <c r="B60" s="3">
        <v>2050</v>
      </c>
      <c r="C60" s="23">
        <f t="shared" si="20"/>
        <v>0.11273608846780893</v>
      </c>
      <c r="D60" s="23">
        <f t="shared" si="20"/>
        <v>0</v>
      </c>
      <c r="E60" s="23">
        <f t="shared" si="20"/>
        <v>0.10405003229874804</v>
      </c>
      <c r="F60" s="23">
        <f t="shared" si="20"/>
        <v>2.3672290750253778E-2</v>
      </c>
      <c r="G60" s="23">
        <f t="shared" si="20"/>
        <v>5.0453335999261745E-2</v>
      </c>
      <c r="H60" s="23">
        <f t="shared" si="20"/>
        <v>0.4854482604817128</v>
      </c>
      <c r="I60" s="23">
        <f t="shared" si="20"/>
        <v>0</v>
      </c>
      <c r="J60" s="23">
        <f t="shared" si="20"/>
        <v>0.20656202897659109</v>
      </c>
      <c r="K60" s="23">
        <f t="shared" si="20"/>
        <v>2.7223230490018152E-3</v>
      </c>
      <c r="L60" s="23">
        <f t="shared" si="20"/>
        <v>3.0741486972838293E-3</v>
      </c>
      <c r="M60" s="23">
        <f t="shared" si="20"/>
        <v>0</v>
      </c>
      <c r="N60" s="23">
        <f t="shared" si="20"/>
        <v>1.128149127933803E-2</v>
      </c>
      <c r="O60" s="23">
        <f t="shared" si="20"/>
        <v>0</v>
      </c>
      <c r="P60" s="26"/>
      <c r="Q60" s="7">
        <f t="shared" si="21"/>
        <v>6.1734827278599774E-2</v>
      </c>
      <c r="R60" s="7">
        <f t="shared" si="21"/>
        <v>5.7964717462856445E-3</v>
      </c>
      <c r="T60" s="8">
        <f t="shared" si="22"/>
        <v>1</v>
      </c>
    </row>
    <row r="62" spans="1:37" s="9" customFormat="1" ht="21" x14ac:dyDescent="0.4">
      <c r="B62" s="10" t="s">
        <v>12</v>
      </c>
    </row>
    <row r="63" spans="1:37" s="32" customFormat="1" ht="21" x14ac:dyDescent="0.4">
      <c r="B63" s="31"/>
      <c r="P63" s="58"/>
    </row>
    <row r="64" spans="1:37" ht="28.8" x14ac:dyDescent="0.3">
      <c r="B64" s="43" t="s">
        <v>37</v>
      </c>
      <c r="C64" s="43" t="s">
        <v>0</v>
      </c>
      <c r="D64" s="43" t="s">
        <v>1</v>
      </c>
      <c r="E64" s="43" t="s">
        <v>28</v>
      </c>
      <c r="F64" s="2" t="s">
        <v>29</v>
      </c>
      <c r="G64" s="2" t="s">
        <v>6</v>
      </c>
      <c r="H64" s="43" t="s">
        <v>2</v>
      </c>
      <c r="I64" s="43" t="s">
        <v>3</v>
      </c>
      <c r="J64" s="43" t="s">
        <v>4</v>
      </c>
      <c r="K64" s="43" t="s">
        <v>9</v>
      </c>
      <c r="L64" s="43" t="s">
        <v>8</v>
      </c>
      <c r="M64" s="43" t="s">
        <v>25</v>
      </c>
      <c r="N64" s="43" t="s">
        <v>7</v>
      </c>
      <c r="O64" s="43" t="s">
        <v>89</v>
      </c>
      <c r="P64" s="25"/>
      <c r="Q64" s="43" t="s">
        <v>5</v>
      </c>
      <c r="R64" s="43" t="s">
        <v>91</v>
      </c>
      <c r="T64" s="43"/>
    </row>
    <row r="65" spans="2:20" x14ac:dyDescent="0.3">
      <c r="B65" s="3">
        <v>2016</v>
      </c>
      <c r="C65" s="23">
        <f t="shared" ref="C65:O65" si="23">IFERROR(C34/(8.76*C4),0)</f>
        <v>0.61670682155154666</v>
      </c>
      <c r="D65" s="23">
        <f t="shared" si="23"/>
        <v>0.90488773776270071</v>
      </c>
      <c r="E65" s="23">
        <f t="shared" si="23"/>
        <v>0.20327398012747969</v>
      </c>
      <c r="F65" s="23">
        <f t="shared" si="23"/>
        <v>6.7588779038524713E-2</v>
      </c>
      <c r="G65" s="23">
        <f t="shared" si="23"/>
        <v>0.82769756710584552</v>
      </c>
      <c r="H65" s="23">
        <f t="shared" si="23"/>
        <v>0.35157512265710944</v>
      </c>
      <c r="I65" s="23">
        <f t="shared" si="23"/>
        <v>0.47241434111308539</v>
      </c>
      <c r="J65" s="23">
        <f t="shared" si="23"/>
        <v>0.20369543738680201</v>
      </c>
      <c r="K65" s="23">
        <f t="shared" si="23"/>
        <v>0</v>
      </c>
      <c r="L65" s="23">
        <f t="shared" si="23"/>
        <v>0.68481680259532229</v>
      </c>
      <c r="M65" s="23">
        <f t="shared" si="23"/>
        <v>0</v>
      </c>
      <c r="N65" s="23">
        <f t="shared" si="23"/>
        <v>0.21634536847565858</v>
      </c>
      <c r="O65" s="23">
        <f t="shared" si="23"/>
        <v>0</v>
      </c>
      <c r="P65" s="26"/>
      <c r="Q65" s="6">
        <f t="shared" ref="Q65:R68" si="24">IFERROR(Q34/(8.76*Q4),0)</f>
        <v>0.57073122663346065</v>
      </c>
      <c r="R65" s="6">
        <f t="shared" si="24"/>
        <v>0.68481680259532229</v>
      </c>
      <c r="S65" s="5"/>
      <c r="T65" s="5"/>
    </row>
    <row r="66" spans="2:20" x14ac:dyDescent="0.3">
      <c r="B66" s="3">
        <v>2030</v>
      </c>
      <c r="C66" s="23">
        <f t="shared" ref="C66:O66" si="25">IFERROR(C35/(8.76*C5),0)</f>
        <v>0.61874213778439768</v>
      </c>
      <c r="D66" s="23">
        <f t="shared" si="25"/>
        <v>0.89124611590806979</v>
      </c>
      <c r="E66" s="23">
        <f t="shared" si="25"/>
        <v>0.59589788754982864</v>
      </c>
      <c r="F66" s="23">
        <f t="shared" si="25"/>
        <v>5.9032232996846156E-3</v>
      </c>
      <c r="G66" s="23">
        <f t="shared" si="25"/>
        <v>0.64139369321328921</v>
      </c>
      <c r="H66" s="23">
        <f t="shared" si="25"/>
        <v>0.36598399532874326</v>
      </c>
      <c r="I66" s="23">
        <f t="shared" si="25"/>
        <v>0.4797216573313704</v>
      </c>
      <c r="J66" s="23">
        <f t="shared" si="25"/>
        <v>0.20248595263400962</v>
      </c>
      <c r="K66" s="23">
        <f t="shared" si="25"/>
        <v>0</v>
      </c>
      <c r="L66" s="23">
        <f t="shared" si="25"/>
        <v>0.67833545617796387</v>
      </c>
      <c r="M66" s="23">
        <f t="shared" si="25"/>
        <v>0</v>
      </c>
      <c r="N66" s="23">
        <f t="shared" si="25"/>
        <v>0.19757492984290959</v>
      </c>
      <c r="O66" s="23">
        <f t="shared" si="25"/>
        <v>0</v>
      </c>
      <c r="P66" s="26"/>
      <c r="Q66" s="6">
        <f t="shared" si="24"/>
        <v>0.45484576926404746</v>
      </c>
      <c r="R66" s="6">
        <f t="shared" si="24"/>
        <v>0.67833545617796387</v>
      </c>
      <c r="S66" s="5"/>
      <c r="T66" s="5"/>
    </row>
    <row r="67" spans="2:20" x14ac:dyDescent="0.3">
      <c r="B67" s="3">
        <v>2040</v>
      </c>
      <c r="C67" s="23">
        <f t="shared" ref="C67:O67" si="26">IFERROR(C36/(8.76*C6),0)</f>
        <v>0.51661713868897974</v>
      </c>
      <c r="D67" s="23">
        <f t="shared" si="26"/>
        <v>0.83749450735211217</v>
      </c>
      <c r="E67" s="23">
        <f t="shared" si="26"/>
        <v>0.60290391873889515</v>
      </c>
      <c r="F67" s="23">
        <f t="shared" si="26"/>
        <v>9.0115688052466083E-3</v>
      </c>
      <c r="G67" s="23">
        <f t="shared" si="26"/>
        <v>0.59582723931553161</v>
      </c>
      <c r="H67" s="23">
        <f t="shared" si="26"/>
        <v>0</v>
      </c>
      <c r="I67" s="23">
        <f t="shared" si="26"/>
        <v>0.48149154337906247</v>
      </c>
      <c r="J67" s="23">
        <f t="shared" si="26"/>
        <v>0.20371809689765477</v>
      </c>
      <c r="K67" s="23">
        <f t="shared" si="26"/>
        <v>0</v>
      </c>
      <c r="L67" s="23">
        <f t="shared" si="26"/>
        <v>0.69783271122849333</v>
      </c>
      <c r="M67" s="23">
        <f t="shared" si="26"/>
        <v>0</v>
      </c>
      <c r="N67" s="23">
        <f t="shared" si="26"/>
        <v>0.2117227732941688</v>
      </c>
      <c r="O67" s="23">
        <f t="shared" si="26"/>
        <v>0</v>
      </c>
      <c r="P67" s="26"/>
      <c r="Q67" s="6">
        <f t="shared" si="24"/>
        <v>0.43437870079098967</v>
      </c>
      <c r="R67" s="6">
        <f t="shared" si="24"/>
        <v>0.69783271122849333</v>
      </c>
      <c r="S67" s="5"/>
      <c r="T67" s="5"/>
    </row>
    <row r="68" spans="2:20" x14ac:dyDescent="0.3">
      <c r="B68" s="3">
        <v>2050</v>
      </c>
      <c r="C68" s="23">
        <f t="shared" ref="C68:O68" si="27">IFERROR(C37/(8.76*C7),0)</f>
        <v>0</v>
      </c>
      <c r="D68" s="23">
        <f t="shared" si="27"/>
        <v>0</v>
      </c>
      <c r="E68" s="23">
        <f t="shared" si="27"/>
        <v>0.60385488931419884</v>
      </c>
      <c r="F68" s="23">
        <f t="shared" si="27"/>
        <v>0</v>
      </c>
      <c r="G68" s="23">
        <f t="shared" si="27"/>
        <v>0.57186143023712299</v>
      </c>
      <c r="H68" s="23">
        <f t="shared" si="27"/>
        <v>0</v>
      </c>
      <c r="I68" s="23">
        <f t="shared" si="27"/>
        <v>0</v>
      </c>
      <c r="J68" s="23">
        <f t="shared" si="27"/>
        <v>0</v>
      </c>
      <c r="K68" s="23">
        <f t="shared" si="27"/>
        <v>0</v>
      </c>
      <c r="L68" s="23">
        <f t="shared" si="27"/>
        <v>0.70364690313618394</v>
      </c>
      <c r="M68" s="23">
        <f t="shared" si="27"/>
        <v>0</v>
      </c>
      <c r="N68" s="23">
        <f t="shared" si="27"/>
        <v>0.20609917557078833</v>
      </c>
      <c r="O68" s="23">
        <f t="shared" si="27"/>
        <v>0</v>
      </c>
      <c r="P68" s="26"/>
      <c r="Q68" s="6">
        <f t="shared" si="24"/>
        <v>0.41812257352714466</v>
      </c>
      <c r="R68" s="6">
        <f t="shared" si="24"/>
        <v>0.70364690313618394</v>
      </c>
      <c r="S68" s="5"/>
      <c r="T68" s="5"/>
    </row>
    <row r="69" spans="2:20" x14ac:dyDescent="0.3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28"/>
      <c r="Q69" s="5"/>
      <c r="R69" s="5"/>
      <c r="S69" s="5"/>
      <c r="T69" s="5"/>
    </row>
    <row r="70" spans="2:20" ht="28.8" x14ac:dyDescent="0.3">
      <c r="B70" s="43" t="s">
        <v>38</v>
      </c>
      <c r="C70" s="43" t="s">
        <v>0</v>
      </c>
      <c r="D70" s="43" t="s">
        <v>1</v>
      </c>
      <c r="E70" s="43" t="s">
        <v>28</v>
      </c>
      <c r="F70" s="2" t="s">
        <v>29</v>
      </c>
      <c r="G70" s="2" t="s">
        <v>6</v>
      </c>
      <c r="H70" s="43" t="s">
        <v>2</v>
      </c>
      <c r="I70" s="43" t="s">
        <v>3</v>
      </c>
      <c r="J70" s="43" t="s">
        <v>4</v>
      </c>
      <c r="K70" s="43" t="s">
        <v>9</v>
      </c>
      <c r="L70" s="43" t="s">
        <v>8</v>
      </c>
      <c r="M70" s="43" t="s">
        <v>25</v>
      </c>
      <c r="N70" s="43" t="s">
        <v>7</v>
      </c>
      <c r="O70" s="43" t="s">
        <v>89</v>
      </c>
      <c r="P70" s="25"/>
      <c r="Q70" s="43" t="s">
        <v>5</v>
      </c>
      <c r="R70" s="43" t="s">
        <v>91</v>
      </c>
      <c r="T70" s="43"/>
    </row>
    <row r="71" spans="2:20" x14ac:dyDescent="0.3">
      <c r="B71" s="3">
        <v>2016</v>
      </c>
      <c r="C71" s="23">
        <f t="shared" ref="C71:O71" si="28">IFERROR(C40/(8.76*C10),0)</f>
        <v>0</v>
      </c>
      <c r="D71" s="23">
        <f t="shared" si="28"/>
        <v>0</v>
      </c>
      <c r="E71" s="23">
        <f t="shared" si="28"/>
        <v>0</v>
      </c>
      <c r="F71" s="23">
        <f t="shared" si="28"/>
        <v>0</v>
      </c>
      <c r="G71" s="23">
        <f t="shared" si="28"/>
        <v>0</v>
      </c>
      <c r="H71" s="23">
        <f t="shared" si="28"/>
        <v>0</v>
      </c>
      <c r="I71" s="23">
        <f t="shared" si="28"/>
        <v>0</v>
      </c>
      <c r="J71" s="23">
        <f t="shared" si="28"/>
        <v>0</v>
      </c>
      <c r="K71" s="23">
        <f t="shared" si="28"/>
        <v>0</v>
      </c>
      <c r="L71" s="23">
        <f t="shared" si="28"/>
        <v>0</v>
      </c>
      <c r="M71" s="23">
        <f t="shared" si="28"/>
        <v>0</v>
      </c>
      <c r="N71" s="23">
        <f t="shared" si="28"/>
        <v>0</v>
      </c>
      <c r="O71" s="23">
        <f t="shared" si="28"/>
        <v>0</v>
      </c>
      <c r="P71" s="26"/>
      <c r="Q71" s="7">
        <f t="shared" ref="Q71:R74" si="29">IFERROR(Q40/(8.76*Q10),0)</f>
        <v>0</v>
      </c>
      <c r="R71" s="7">
        <f t="shared" si="29"/>
        <v>0</v>
      </c>
      <c r="S71" s="5"/>
      <c r="T71" s="5"/>
    </row>
    <row r="72" spans="2:20" x14ac:dyDescent="0.3">
      <c r="B72" s="3">
        <v>2030</v>
      </c>
      <c r="C72" s="23">
        <f t="shared" ref="C72:O72" si="30">IFERROR(C41/(8.76*C11),0)</f>
        <v>0.78316779901085365</v>
      </c>
      <c r="D72" s="23">
        <f t="shared" si="30"/>
        <v>0</v>
      </c>
      <c r="E72" s="23">
        <f t="shared" si="30"/>
        <v>0</v>
      </c>
      <c r="F72" s="23">
        <f t="shared" si="30"/>
        <v>0</v>
      </c>
      <c r="G72" s="23">
        <f t="shared" si="30"/>
        <v>0.49421163187859629</v>
      </c>
      <c r="H72" s="23">
        <f t="shared" si="30"/>
        <v>0.36602895525578388</v>
      </c>
      <c r="I72" s="23">
        <f t="shared" si="30"/>
        <v>0.56520033071080356</v>
      </c>
      <c r="J72" s="23">
        <f t="shared" si="30"/>
        <v>0.20254145165252363</v>
      </c>
      <c r="K72" s="23">
        <f t="shared" si="30"/>
        <v>0.76672860601139536</v>
      </c>
      <c r="L72" s="23">
        <f t="shared" si="30"/>
        <v>0.76102807495934144</v>
      </c>
      <c r="M72" s="23">
        <f t="shared" si="30"/>
        <v>0</v>
      </c>
      <c r="N72" s="23">
        <f t="shared" si="30"/>
        <v>0.26093493016089042</v>
      </c>
      <c r="O72" s="23">
        <f t="shared" si="30"/>
        <v>0</v>
      </c>
      <c r="P72" s="26"/>
      <c r="Q72" s="7">
        <f t="shared" si="29"/>
        <v>0.26855835178565202</v>
      </c>
      <c r="R72" s="7">
        <f t="shared" si="29"/>
        <v>0.76249471644360778</v>
      </c>
      <c r="S72" s="5"/>
      <c r="T72" s="5"/>
    </row>
    <row r="73" spans="2:20" x14ac:dyDescent="0.3">
      <c r="B73" s="3">
        <v>2040</v>
      </c>
      <c r="C73" s="23">
        <f t="shared" ref="C73:O73" si="31">IFERROR(C42/(8.76*C12),0)</f>
        <v>0.73684632861910493</v>
      </c>
      <c r="D73" s="23">
        <f t="shared" si="31"/>
        <v>0</v>
      </c>
      <c r="E73" s="23">
        <f t="shared" si="31"/>
        <v>0</v>
      </c>
      <c r="F73" s="23">
        <f t="shared" si="31"/>
        <v>0</v>
      </c>
      <c r="G73" s="23">
        <f t="shared" si="31"/>
        <v>0.50187213780780582</v>
      </c>
      <c r="H73" s="23">
        <f t="shared" si="31"/>
        <v>0</v>
      </c>
      <c r="I73" s="23">
        <f t="shared" si="31"/>
        <v>0.56713499717337745</v>
      </c>
      <c r="J73" s="23">
        <f t="shared" si="31"/>
        <v>0.20371987758798812</v>
      </c>
      <c r="K73" s="23">
        <f t="shared" si="31"/>
        <v>0.76787734905465932</v>
      </c>
      <c r="L73" s="23">
        <f t="shared" si="31"/>
        <v>0.76427229107787686</v>
      </c>
      <c r="M73" s="23">
        <f t="shared" si="31"/>
        <v>0</v>
      </c>
      <c r="N73" s="23">
        <f t="shared" si="31"/>
        <v>0.27816757260852459</v>
      </c>
      <c r="O73" s="23">
        <f t="shared" si="31"/>
        <v>0</v>
      </c>
      <c r="P73" s="26"/>
      <c r="Q73" s="7">
        <f t="shared" si="29"/>
        <v>0.28547817931438341</v>
      </c>
      <c r="R73" s="7">
        <f t="shared" si="29"/>
        <v>0.76519980599423354</v>
      </c>
      <c r="S73" s="5"/>
      <c r="T73" s="5"/>
    </row>
    <row r="74" spans="2:20" x14ac:dyDescent="0.3">
      <c r="B74" s="3">
        <v>2050</v>
      </c>
      <c r="C74" s="23">
        <f t="shared" ref="C74:O74" si="32">IFERROR(C43/(8.76*C13),0)</f>
        <v>0.71438208803377989</v>
      </c>
      <c r="D74" s="23">
        <f t="shared" si="32"/>
        <v>0</v>
      </c>
      <c r="E74" s="23">
        <f t="shared" si="32"/>
        <v>0</v>
      </c>
      <c r="F74" s="23">
        <f t="shared" si="32"/>
        <v>0</v>
      </c>
      <c r="G74" s="23">
        <f t="shared" si="32"/>
        <v>0.50342217460149741</v>
      </c>
      <c r="H74" s="23">
        <f t="shared" si="32"/>
        <v>0</v>
      </c>
      <c r="I74" s="23">
        <f t="shared" si="32"/>
        <v>0</v>
      </c>
      <c r="J74" s="23">
        <f t="shared" si="32"/>
        <v>0</v>
      </c>
      <c r="K74" s="23">
        <f t="shared" si="32"/>
        <v>0</v>
      </c>
      <c r="L74" s="23">
        <f t="shared" si="32"/>
        <v>0</v>
      </c>
      <c r="M74" s="23">
        <f t="shared" si="32"/>
        <v>0</v>
      </c>
      <c r="N74" s="23">
        <f t="shared" si="32"/>
        <v>0.26732310553596494</v>
      </c>
      <c r="O74" s="23">
        <f t="shared" si="32"/>
        <v>0</v>
      </c>
      <c r="P74" s="26"/>
      <c r="Q74" s="7">
        <f t="shared" si="29"/>
        <v>0.27503876138777972</v>
      </c>
      <c r="R74" s="7">
        <f t="shared" si="29"/>
        <v>0</v>
      </c>
      <c r="S74" s="5"/>
      <c r="T74" s="5"/>
    </row>
    <row r="75" spans="2:20" x14ac:dyDescent="0.3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28"/>
      <c r="Q75" s="5"/>
      <c r="R75" s="5"/>
      <c r="S75" s="5"/>
      <c r="T75" s="5"/>
    </row>
    <row r="76" spans="2:20" ht="28.8" x14ac:dyDescent="0.3">
      <c r="B76" s="43" t="s">
        <v>43</v>
      </c>
      <c r="C76" s="43" t="s">
        <v>0</v>
      </c>
      <c r="D76" s="43" t="s">
        <v>1</v>
      </c>
      <c r="E76" s="43" t="s">
        <v>28</v>
      </c>
      <c r="F76" s="2" t="s">
        <v>29</v>
      </c>
      <c r="G76" s="2" t="s">
        <v>6</v>
      </c>
      <c r="H76" s="43" t="s">
        <v>2</v>
      </c>
      <c r="I76" s="43" t="s">
        <v>3</v>
      </c>
      <c r="J76" s="43" t="s">
        <v>4</v>
      </c>
      <c r="K76" s="43" t="s">
        <v>9</v>
      </c>
      <c r="L76" s="43" t="s">
        <v>8</v>
      </c>
      <c r="M76" s="43" t="s">
        <v>25</v>
      </c>
      <c r="N76" s="43" t="s">
        <v>7</v>
      </c>
      <c r="O76" s="43" t="s">
        <v>89</v>
      </c>
      <c r="P76" s="25"/>
      <c r="Q76" s="43" t="s">
        <v>5</v>
      </c>
      <c r="R76" s="43" t="s">
        <v>91</v>
      </c>
      <c r="T76" s="43"/>
    </row>
    <row r="77" spans="2:20" x14ac:dyDescent="0.3">
      <c r="B77" s="3">
        <v>2016</v>
      </c>
      <c r="C77" s="23">
        <f t="shared" ref="C77:O77" si="33">IFERROR(C46/(8.76*C16),0)</f>
        <v>0</v>
      </c>
      <c r="D77" s="23">
        <f t="shared" si="33"/>
        <v>0</v>
      </c>
      <c r="E77" s="23">
        <f t="shared" si="33"/>
        <v>0</v>
      </c>
      <c r="F77" s="23">
        <f t="shared" si="33"/>
        <v>0</v>
      </c>
      <c r="G77" s="23">
        <f t="shared" si="33"/>
        <v>0</v>
      </c>
      <c r="H77" s="23">
        <f t="shared" si="33"/>
        <v>0</v>
      </c>
      <c r="I77" s="23">
        <f t="shared" si="33"/>
        <v>0</v>
      </c>
      <c r="J77" s="23">
        <f t="shared" si="33"/>
        <v>0</v>
      </c>
      <c r="K77" s="23">
        <f t="shared" si="33"/>
        <v>0</v>
      </c>
      <c r="L77" s="23">
        <f t="shared" si="33"/>
        <v>0</v>
      </c>
      <c r="M77" s="23">
        <f t="shared" si="33"/>
        <v>0</v>
      </c>
      <c r="N77" s="23">
        <f t="shared" si="33"/>
        <v>0</v>
      </c>
      <c r="O77" s="23">
        <f t="shared" si="33"/>
        <v>0</v>
      </c>
      <c r="P77" s="26"/>
      <c r="Q77" s="7">
        <f t="shared" ref="Q77:R80" si="34">IFERROR(Q46/(8.76*Q16),0)</f>
        <v>0</v>
      </c>
      <c r="R77" s="7">
        <f t="shared" si="34"/>
        <v>0</v>
      </c>
      <c r="S77" s="5"/>
      <c r="T77" s="5"/>
    </row>
    <row r="78" spans="2:20" x14ac:dyDescent="0.3">
      <c r="B78" s="3">
        <v>2030</v>
      </c>
      <c r="C78" s="23">
        <f t="shared" ref="C78:O78" si="35">IFERROR(C47/(8.76*C17),0)</f>
        <v>0</v>
      </c>
      <c r="D78" s="23">
        <f t="shared" si="35"/>
        <v>0</v>
      </c>
      <c r="E78" s="23">
        <f t="shared" si="35"/>
        <v>0.24345256928274128</v>
      </c>
      <c r="F78" s="23">
        <f t="shared" si="35"/>
        <v>4.2236375419745578E-2</v>
      </c>
      <c r="G78" s="23">
        <f t="shared" si="35"/>
        <v>0</v>
      </c>
      <c r="H78" s="23">
        <f t="shared" si="35"/>
        <v>0.36498101959656482</v>
      </c>
      <c r="I78" s="23">
        <f t="shared" si="35"/>
        <v>0</v>
      </c>
      <c r="J78" s="23">
        <f t="shared" si="35"/>
        <v>0.20258226414840086</v>
      </c>
      <c r="K78" s="23">
        <f t="shared" si="35"/>
        <v>0</v>
      </c>
      <c r="L78" s="23">
        <f t="shared" si="35"/>
        <v>0</v>
      </c>
      <c r="M78" s="23">
        <f t="shared" si="35"/>
        <v>0</v>
      </c>
      <c r="N78" s="23">
        <f t="shared" si="35"/>
        <v>0</v>
      </c>
      <c r="O78" s="23">
        <f t="shared" si="35"/>
        <v>0</v>
      </c>
      <c r="P78" s="26"/>
      <c r="Q78" s="7">
        <f t="shared" si="34"/>
        <v>0</v>
      </c>
      <c r="R78" s="7">
        <f t="shared" si="34"/>
        <v>0</v>
      </c>
      <c r="S78" s="5"/>
      <c r="T78" s="5"/>
    </row>
    <row r="79" spans="2:20" x14ac:dyDescent="0.3">
      <c r="B79" s="3">
        <v>2040</v>
      </c>
      <c r="C79" s="23">
        <f t="shared" ref="C79:O79" si="36">IFERROR(C48/(8.76*C18),0)</f>
        <v>0</v>
      </c>
      <c r="D79" s="23">
        <f t="shared" si="36"/>
        <v>0</v>
      </c>
      <c r="E79" s="23">
        <f t="shared" si="36"/>
        <v>0.30009493648723062</v>
      </c>
      <c r="F79" s="23">
        <f t="shared" si="36"/>
        <v>4.2833811606556596E-2</v>
      </c>
      <c r="G79" s="23">
        <f t="shared" si="36"/>
        <v>0</v>
      </c>
      <c r="H79" s="23">
        <f t="shared" si="36"/>
        <v>0.34864748520123956</v>
      </c>
      <c r="I79" s="23">
        <f t="shared" si="36"/>
        <v>0</v>
      </c>
      <c r="J79" s="23">
        <f t="shared" si="36"/>
        <v>0.18790882839793444</v>
      </c>
      <c r="K79" s="23">
        <f t="shared" si="36"/>
        <v>0.65193868452133608</v>
      </c>
      <c r="L79" s="23">
        <f t="shared" si="36"/>
        <v>0</v>
      </c>
      <c r="M79" s="23">
        <f t="shared" si="36"/>
        <v>0</v>
      </c>
      <c r="N79" s="23">
        <f t="shared" si="36"/>
        <v>0</v>
      </c>
      <c r="O79" s="23">
        <f t="shared" si="36"/>
        <v>0</v>
      </c>
      <c r="P79" s="26"/>
      <c r="Q79" s="7">
        <f t="shared" si="34"/>
        <v>0</v>
      </c>
      <c r="R79" s="7">
        <f t="shared" si="34"/>
        <v>0.65193868452133608</v>
      </c>
      <c r="S79" s="5"/>
      <c r="T79" s="5"/>
    </row>
    <row r="80" spans="2:20" x14ac:dyDescent="0.3">
      <c r="B80" s="3">
        <v>2050</v>
      </c>
      <c r="C80" s="23">
        <f t="shared" ref="C80:O80" si="37">IFERROR(C49/(8.76*C19),0)</f>
        <v>0</v>
      </c>
      <c r="D80" s="23">
        <f t="shared" si="37"/>
        <v>0</v>
      </c>
      <c r="E80" s="23">
        <f t="shared" si="37"/>
        <v>0.31689129367860774</v>
      </c>
      <c r="F80" s="23">
        <f t="shared" si="37"/>
        <v>3.8841499585609437E-2</v>
      </c>
      <c r="G80" s="23">
        <f t="shared" si="37"/>
        <v>0.71200934393022874</v>
      </c>
      <c r="H80" s="23">
        <f t="shared" si="37"/>
        <v>0.34470471667739833</v>
      </c>
      <c r="I80" s="23">
        <f t="shared" si="37"/>
        <v>0</v>
      </c>
      <c r="J80" s="23">
        <f t="shared" si="37"/>
        <v>0.16867573373243477</v>
      </c>
      <c r="K80" s="23">
        <f t="shared" si="37"/>
        <v>0.56725129912656791</v>
      </c>
      <c r="L80" s="23">
        <f t="shared" si="37"/>
        <v>0</v>
      </c>
      <c r="M80" s="23">
        <f t="shared" si="37"/>
        <v>0</v>
      </c>
      <c r="N80" s="23">
        <f t="shared" si="37"/>
        <v>0</v>
      </c>
      <c r="O80" s="23">
        <f t="shared" si="37"/>
        <v>0</v>
      </c>
      <c r="P80" s="26"/>
      <c r="Q80" s="7">
        <f t="shared" si="34"/>
        <v>0.56223100436688933</v>
      </c>
      <c r="R80" s="7">
        <f t="shared" si="34"/>
        <v>0.56725129912656791</v>
      </c>
      <c r="S80" s="5"/>
      <c r="T80" s="5"/>
    </row>
    <row r="81" spans="1:58" x14ac:dyDescent="0.3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28"/>
    </row>
    <row r="82" spans="1:58" ht="28.8" x14ac:dyDescent="0.3">
      <c r="B82" s="43" t="s">
        <v>52</v>
      </c>
      <c r="C82" s="43" t="s">
        <v>0</v>
      </c>
      <c r="D82" s="43" t="s">
        <v>1</v>
      </c>
      <c r="E82" s="43" t="s">
        <v>28</v>
      </c>
      <c r="F82" s="2" t="s">
        <v>29</v>
      </c>
      <c r="G82" s="2" t="s">
        <v>6</v>
      </c>
      <c r="H82" s="43" t="s">
        <v>2</v>
      </c>
      <c r="I82" s="43" t="s">
        <v>3</v>
      </c>
      <c r="J82" s="43" t="s">
        <v>4</v>
      </c>
      <c r="K82" s="43" t="s">
        <v>9</v>
      </c>
      <c r="L82" s="43" t="s">
        <v>8</v>
      </c>
      <c r="M82" s="43" t="s">
        <v>25</v>
      </c>
      <c r="N82" s="43" t="s">
        <v>7</v>
      </c>
      <c r="O82" s="43" t="s">
        <v>89</v>
      </c>
      <c r="P82" s="25"/>
      <c r="Q82" s="43" t="s">
        <v>5</v>
      </c>
      <c r="R82" s="43" t="s">
        <v>91</v>
      </c>
      <c r="T82" s="43"/>
    </row>
    <row r="83" spans="1:58" x14ac:dyDescent="0.3">
      <c r="B83" s="3">
        <v>2016</v>
      </c>
      <c r="C83" s="23">
        <f t="shared" ref="C83:O83" si="38">IFERROR(C52/(8.76*C22),0)</f>
        <v>0.60460138070656211</v>
      </c>
      <c r="D83" s="23">
        <f t="shared" si="38"/>
        <v>0.90488773776270071</v>
      </c>
      <c r="E83" s="23">
        <f t="shared" si="38"/>
        <v>0.20327398012747969</v>
      </c>
      <c r="F83" s="23">
        <f t="shared" si="38"/>
        <v>6.7588779038524713E-2</v>
      </c>
      <c r="G83" s="23">
        <f t="shared" si="38"/>
        <v>0.82769756710584552</v>
      </c>
      <c r="H83" s="23">
        <f t="shared" si="38"/>
        <v>0.31449117136314036</v>
      </c>
      <c r="I83" s="23">
        <f t="shared" si="38"/>
        <v>0.47241434111308539</v>
      </c>
      <c r="J83" s="23">
        <f t="shared" si="38"/>
        <v>0.20369543738680201</v>
      </c>
      <c r="K83" s="23">
        <f t="shared" si="38"/>
        <v>0</v>
      </c>
      <c r="L83" s="23">
        <f t="shared" si="38"/>
        <v>0.68481680259532229</v>
      </c>
      <c r="M83" s="23">
        <f t="shared" si="38"/>
        <v>0</v>
      </c>
      <c r="N83" s="23">
        <f t="shared" si="38"/>
        <v>0.21634536847565858</v>
      </c>
      <c r="O83" s="23">
        <f t="shared" si="38"/>
        <v>0</v>
      </c>
      <c r="P83" s="26"/>
      <c r="Q83" s="7">
        <f t="shared" ref="Q83:R86" si="39">IFERROR(Q52/(8.76*Q22),0)</f>
        <v>0.57073122663346065</v>
      </c>
      <c r="R83" s="7">
        <f t="shared" si="39"/>
        <v>0.68481680259532229</v>
      </c>
      <c r="S83" s="5"/>
      <c r="T83" s="5"/>
    </row>
    <row r="84" spans="1:58" x14ac:dyDescent="0.3">
      <c r="B84" s="3">
        <v>2030</v>
      </c>
      <c r="C84" s="23">
        <f t="shared" ref="C84:O84" si="40">IFERROR(C53/(8.76*C23),0)</f>
        <v>0.66681557123593937</v>
      </c>
      <c r="D84" s="23">
        <f t="shared" si="40"/>
        <v>0.89124611590806979</v>
      </c>
      <c r="E84" s="23">
        <f t="shared" si="40"/>
        <v>0.28808905503594934</v>
      </c>
      <c r="F84" s="23">
        <f t="shared" si="40"/>
        <v>3.3708104073843712E-2</v>
      </c>
      <c r="G84" s="23">
        <f t="shared" si="40"/>
        <v>0.63841563891470055</v>
      </c>
      <c r="H84" s="23">
        <f t="shared" si="40"/>
        <v>0.36515006708131104</v>
      </c>
      <c r="I84" s="23">
        <f t="shared" si="40"/>
        <v>0.54891867863853061</v>
      </c>
      <c r="J84" s="23">
        <f t="shared" si="40"/>
        <v>0.2025694101888755</v>
      </c>
      <c r="K84" s="23">
        <f t="shared" si="40"/>
        <v>0.76672860601139536</v>
      </c>
      <c r="L84" s="23">
        <f t="shared" si="40"/>
        <v>0.70867591342868508</v>
      </c>
      <c r="M84" s="23">
        <f t="shared" si="40"/>
        <v>0</v>
      </c>
      <c r="N84" s="23">
        <f t="shared" si="40"/>
        <v>0.20330777076305184</v>
      </c>
      <c r="O84" s="23">
        <f t="shared" si="40"/>
        <v>0</v>
      </c>
      <c r="P84" s="26"/>
      <c r="Q84" s="7">
        <f t="shared" si="39"/>
        <v>0.38024686360804483</v>
      </c>
      <c r="R84" s="7">
        <f t="shared" si="39"/>
        <v>0.71522228089013962</v>
      </c>
      <c r="S84" s="5"/>
      <c r="T84" s="5"/>
    </row>
    <row r="85" spans="1:58" x14ac:dyDescent="0.3">
      <c r="B85" s="3">
        <v>2040</v>
      </c>
      <c r="C85" s="23">
        <f t="shared" ref="C85:O85" si="41">IFERROR(C54/(8.76*C24),0)</f>
        <v>0.6387447006320871</v>
      </c>
      <c r="D85" s="23">
        <f t="shared" si="41"/>
        <v>0.83749450735211217</v>
      </c>
      <c r="E85" s="23">
        <f t="shared" si="41"/>
        <v>0.3130290344153292</v>
      </c>
      <c r="F85" s="23">
        <f t="shared" si="41"/>
        <v>4.1575292075462643E-2</v>
      </c>
      <c r="G85" s="23">
        <f t="shared" si="41"/>
        <v>0.59392616936595988</v>
      </c>
      <c r="H85" s="23">
        <f t="shared" si="41"/>
        <v>0.34864748520123956</v>
      </c>
      <c r="I85" s="23">
        <f t="shared" si="41"/>
        <v>0.55082195835541259</v>
      </c>
      <c r="J85" s="23">
        <f t="shared" si="41"/>
        <v>0.18844334060101728</v>
      </c>
      <c r="K85" s="23">
        <f t="shared" si="41"/>
        <v>0.67126179527689001</v>
      </c>
      <c r="L85" s="23">
        <f t="shared" si="41"/>
        <v>0.72220982325956196</v>
      </c>
      <c r="M85" s="23">
        <f t="shared" si="41"/>
        <v>0</v>
      </c>
      <c r="N85" s="23">
        <f t="shared" si="41"/>
        <v>0.21727001187036712</v>
      </c>
      <c r="O85" s="23">
        <f t="shared" si="41"/>
        <v>0</v>
      </c>
      <c r="P85" s="26"/>
      <c r="Q85" s="7">
        <f t="shared" si="39"/>
        <v>0.37043938365135048</v>
      </c>
      <c r="R85" s="7">
        <f t="shared" si="39"/>
        <v>0.70016700298950807</v>
      </c>
      <c r="S85" s="5"/>
      <c r="T85" s="5"/>
    </row>
    <row r="86" spans="1:58" x14ac:dyDescent="0.3">
      <c r="B86" s="3">
        <v>2050</v>
      </c>
      <c r="C86" s="23">
        <f t="shared" ref="C86:O86" si="42">IFERROR(C55/(8.76*C25),0)</f>
        <v>0.6674845768655816</v>
      </c>
      <c r="D86" s="23">
        <f t="shared" si="42"/>
        <v>0</v>
      </c>
      <c r="E86" s="23">
        <f t="shared" si="42"/>
        <v>0.32315367984612275</v>
      </c>
      <c r="F86" s="23">
        <f t="shared" si="42"/>
        <v>3.8841499585609437E-2</v>
      </c>
      <c r="G86" s="23">
        <f t="shared" si="42"/>
        <v>0.64537752205108601</v>
      </c>
      <c r="H86" s="23">
        <f t="shared" si="42"/>
        <v>0.34470471667739833</v>
      </c>
      <c r="I86" s="23">
        <f t="shared" si="42"/>
        <v>0</v>
      </c>
      <c r="J86" s="23">
        <f t="shared" si="42"/>
        <v>0.16867573373243477</v>
      </c>
      <c r="K86" s="23">
        <f t="shared" si="42"/>
        <v>0.56725129912656791</v>
      </c>
      <c r="L86" s="23">
        <f t="shared" si="42"/>
        <v>0.70364690313618394</v>
      </c>
      <c r="M86" s="23">
        <f t="shared" si="42"/>
        <v>0</v>
      </c>
      <c r="N86" s="23">
        <f t="shared" si="42"/>
        <v>0.19052852822128308</v>
      </c>
      <c r="O86" s="23">
        <f t="shared" si="42"/>
        <v>0</v>
      </c>
      <c r="P86" s="26"/>
      <c r="Q86" s="7">
        <f t="shared" si="39"/>
        <v>0.44934648134727545</v>
      </c>
      <c r="R86" s="7">
        <f t="shared" si="39"/>
        <v>0.63224848226472441</v>
      </c>
      <c r="S86" s="5"/>
      <c r="T86" s="5"/>
    </row>
    <row r="87" spans="1:58" s="11" customFormat="1" x14ac:dyDescent="0.3">
      <c r="C87" s="12"/>
      <c r="D87" s="12"/>
      <c r="E87" s="14"/>
      <c r="F87" s="14"/>
      <c r="G87" s="14"/>
      <c r="H87" s="16"/>
      <c r="I87" s="14"/>
      <c r="J87" s="14"/>
      <c r="K87" s="16"/>
      <c r="L87" s="14"/>
      <c r="M87" s="16"/>
      <c r="N87" s="20"/>
      <c r="O87" s="20"/>
      <c r="P87" s="20"/>
    </row>
    <row r="88" spans="1:58" s="9" customFormat="1" ht="21" x14ac:dyDescent="0.4">
      <c r="B88" s="10" t="s">
        <v>57</v>
      </c>
    </row>
    <row r="89" spans="1:58" ht="28.8" x14ac:dyDescent="0.3">
      <c r="B89" s="43" t="s">
        <v>56</v>
      </c>
      <c r="C89" s="43" t="s">
        <v>0</v>
      </c>
      <c r="D89" s="43" t="s">
        <v>1</v>
      </c>
      <c r="E89" s="43" t="s">
        <v>28</v>
      </c>
      <c r="F89" s="2" t="s">
        <v>29</v>
      </c>
      <c r="G89" s="2" t="s">
        <v>6</v>
      </c>
      <c r="H89" s="43" t="s">
        <v>2</v>
      </c>
      <c r="I89" s="43" t="s">
        <v>3</v>
      </c>
      <c r="J89" s="43" t="s">
        <v>4</v>
      </c>
      <c r="K89" s="43" t="s">
        <v>9</v>
      </c>
      <c r="L89" s="43" t="s">
        <v>8</v>
      </c>
      <c r="M89" s="43" t="s">
        <v>25</v>
      </c>
      <c r="N89" s="43" t="s">
        <v>7</v>
      </c>
      <c r="O89" s="43" t="s">
        <v>89</v>
      </c>
      <c r="P89" s="25"/>
      <c r="Q89" s="43"/>
      <c r="R89" s="43"/>
      <c r="T89" s="43"/>
      <c r="U89" s="25"/>
      <c r="V89" s="25"/>
      <c r="W89" s="25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</row>
    <row r="90" spans="1:58" x14ac:dyDescent="0.3">
      <c r="A90" s="15"/>
      <c r="B90" s="3">
        <v>2016</v>
      </c>
      <c r="C90" s="80">
        <f>Y90*(Inputs_Summary!$H72/$Y52)</f>
        <v>237361.23967653932</v>
      </c>
      <c r="D90" s="80">
        <f>Z90*(Inputs_Summary!$H72/$Y52)</f>
        <v>14483.908918227477</v>
      </c>
      <c r="E90" s="80">
        <f>AA90*(Inputs_Summary!$H72/$Y52)</f>
        <v>2953.3918178067293</v>
      </c>
      <c r="F90" s="80">
        <f>AB90*(Inputs_Summary!$H72/$Y52)</f>
        <v>26109.111840910784</v>
      </c>
      <c r="G90" s="80">
        <f>AC90*(Inputs_Summary!$H72/$Y52)</f>
        <v>17279.155266936097</v>
      </c>
      <c r="H90" s="44">
        <f>AD90*(Inputs_Summary!$H72/$Y52)</f>
        <v>4573.4046786099279</v>
      </c>
      <c r="I90" s="80">
        <f>AE90*(Inputs_Summary!$H72/$Y52)</f>
        <v>922.30319981359185</v>
      </c>
      <c r="J90" s="44">
        <f>AF90*(Inputs_Summary!$H72/$Y52)</f>
        <v>2684.1837758456386</v>
      </c>
      <c r="K90" s="80">
        <f>AG90*(Inputs_Summary!$H72/$Y52)</f>
        <v>0</v>
      </c>
      <c r="L90" s="80">
        <f>AH90*(Inputs_Summary!$H72/$Y52)</f>
        <v>1875.5851175839462</v>
      </c>
      <c r="M90" s="80">
        <f>AI90*(Inputs_Summary!$H72/$Y52)</f>
        <v>0</v>
      </c>
      <c r="N90" s="80">
        <f>AJ90*(Inputs_Summary!$H72/$Y52)</f>
        <v>12224.544031685698</v>
      </c>
      <c r="O90" s="80" t="e">
        <f>AK90*(Inputs_Summary!#REF!/$Y52)</f>
        <v>#REF!</v>
      </c>
      <c r="P90" s="83"/>
      <c r="Q90" s="39"/>
      <c r="R90" s="5"/>
      <c r="T90" s="5"/>
      <c r="U90" s="24"/>
      <c r="V90" s="24"/>
      <c r="W90" s="26"/>
      <c r="X90" s="39"/>
      <c r="Y90" s="82">
        <v>235642</v>
      </c>
      <c r="Z90" s="39">
        <v>14379</v>
      </c>
      <c r="AA90" s="39">
        <v>2932</v>
      </c>
      <c r="AB90" s="39">
        <v>25920</v>
      </c>
      <c r="AC90" s="39">
        <v>17154</v>
      </c>
      <c r="AD90" s="39">
        <v>4540.2788877644989</v>
      </c>
      <c r="AE90" s="39">
        <v>915.6228325511039</v>
      </c>
      <c r="AF90" s="39">
        <v>2664.7418684270319</v>
      </c>
      <c r="AG90" s="39">
        <v>0</v>
      </c>
      <c r="AH90" s="39">
        <v>1862</v>
      </c>
      <c r="AI90" s="39">
        <v>0</v>
      </c>
      <c r="AJ90" s="39">
        <v>12136</v>
      </c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</row>
    <row r="91" spans="1:58" x14ac:dyDescent="0.3">
      <c r="A91" s="15"/>
      <c r="B91" s="3">
        <v>2030</v>
      </c>
      <c r="C91" s="80">
        <f>Y91*(Inputs_Summary!$H73/$Y53)</f>
        <v>225229.24825470115</v>
      </c>
      <c r="D91" s="80">
        <f>Z91*(Inputs_Summary!$H73/$Y53)</f>
        <v>14666.446394739251</v>
      </c>
      <c r="E91" s="80">
        <f>AA91*(Inputs_Summary!$H73/$Y53)</f>
        <v>25654.806295325241</v>
      </c>
      <c r="F91" s="80">
        <f>AB91*(Inputs_Summary!$H73/$Y53)</f>
        <v>101599.23447299446</v>
      </c>
      <c r="G91" s="80">
        <f>AC91*(Inputs_Summary!$H73/$Y53)</f>
        <v>17832.497553322646</v>
      </c>
      <c r="H91" s="44">
        <f>AD91*(Inputs_Summary!$H73/$Y53)</f>
        <v>80496.646708841159</v>
      </c>
      <c r="I91" s="80">
        <f>AE91*(Inputs_Summary!$H73/$Y53)</f>
        <v>5048.9540061172047</v>
      </c>
      <c r="J91" s="44">
        <f>AF91*(Inputs_Summary!$H73/$Y53)</f>
        <v>27178.672413535161</v>
      </c>
      <c r="K91" s="80">
        <f>AG91*(Inputs_Summary!$H73/$Y53)</f>
        <v>405.95630190598939</v>
      </c>
      <c r="L91" s="80">
        <f>AH91*(Inputs_Summary!$H73/$Y53)</f>
        <v>3058.9521342112116</v>
      </c>
      <c r="M91" s="80">
        <f>AI91*(Inputs_Summary!$H73/$Y53)</f>
        <v>5418.1906425241605</v>
      </c>
      <c r="N91" s="80">
        <f>AJ91*(Inputs_Summary!$H73/$Y53)</f>
        <v>25594.626843535156</v>
      </c>
      <c r="O91" s="80" t="e">
        <f>AK91*(Inputs_Summary!#REF!/$Y53)</f>
        <v>#REF!</v>
      </c>
      <c r="P91" s="83"/>
      <c r="Q91" s="39"/>
      <c r="R91" s="5"/>
      <c r="T91" s="5"/>
      <c r="U91" s="24"/>
      <c r="V91" s="24"/>
      <c r="W91" s="26"/>
      <c r="X91" s="39"/>
      <c r="Y91" s="82">
        <v>220815</v>
      </c>
      <c r="Z91" s="82">
        <v>14379</v>
      </c>
      <c r="AA91" s="82">
        <v>25152</v>
      </c>
      <c r="AB91" s="82">
        <v>99608</v>
      </c>
      <c r="AC91" s="82">
        <v>17483</v>
      </c>
      <c r="AD91" s="82">
        <v>78919</v>
      </c>
      <c r="AE91" s="82">
        <v>4950</v>
      </c>
      <c r="AF91" s="82">
        <v>26646</v>
      </c>
      <c r="AG91" s="82">
        <v>398</v>
      </c>
      <c r="AH91" s="82">
        <v>2999</v>
      </c>
      <c r="AI91" s="82">
        <v>5312</v>
      </c>
      <c r="AJ91" s="82">
        <v>25093</v>
      </c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</row>
    <row r="92" spans="1:58" x14ac:dyDescent="0.3">
      <c r="A92" s="15"/>
      <c r="B92" s="3">
        <v>2040</v>
      </c>
      <c r="C92" s="80">
        <f>Y92*(Inputs_Summary!$H74/$Y54)</f>
        <v>122389.41369914084</v>
      </c>
      <c r="D92" s="80">
        <f>Z92*(Inputs_Summary!$H74/$Y54)</f>
        <v>14753.492435887767</v>
      </c>
      <c r="E92" s="80">
        <f>AA92*(Inputs_Summary!$H74/$Y54)</f>
        <v>77054.384835667865</v>
      </c>
      <c r="F92" s="80">
        <f>AB92*(Inputs_Summary!$H74/$Y54)</f>
        <v>210040.68453191494</v>
      </c>
      <c r="G92" s="80">
        <f>AC92*(Inputs_Summary!$H74/$Y54)</f>
        <v>17864.670678783437</v>
      </c>
      <c r="H92" s="44">
        <f>AD92*(Inputs_Summary!$H74/$Y54)</f>
        <v>177525.95955766281</v>
      </c>
      <c r="I92" s="80">
        <f>AE92*(Inputs_Summary!$H74/$Y54)</f>
        <v>5066.4603729530863</v>
      </c>
      <c r="J92" s="44">
        <f>AF92*(Inputs_Summary!$H74/$Y54)</f>
        <v>93430.751396965381</v>
      </c>
      <c r="K92" s="80">
        <f>AG92*(Inputs_Summary!$H74/$Y54)</f>
        <v>2386.1070061717605</v>
      </c>
      <c r="L92" s="80">
        <f>AH92*(Inputs_Summary!$H74/$Y54)</f>
        <v>3064.9825685337601</v>
      </c>
      <c r="M92" s="80">
        <f>AI92*(Inputs_Summary!$H74/$Y54)</f>
        <v>28301.880323203939</v>
      </c>
      <c r="N92" s="80">
        <f>AJ92*(Inputs_Summary!$H74/$Y54)</f>
        <v>25615.501433679754</v>
      </c>
      <c r="O92" s="80" t="e">
        <f>AK92*(Inputs_Summary!#REF!/$Y54)</f>
        <v>#REF!</v>
      </c>
      <c r="P92" s="83"/>
      <c r="Q92" s="39"/>
      <c r="R92" s="5"/>
      <c r="T92" s="5"/>
      <c r="U92" s="24"/>
      <c r="V92" s="24"/>
      <c r="W92" s="26"/>
      <c r="X92" s="39"/>
      <c r="Y92" s="82">
        <v>121871</v>
      </c>
      <c r="Z92" s="82">
        <v>14691</v>
      </c>
      <c r="AA92" s="82">
        <v>76728</v>
      </c>
      <c r="AB92" s="82">
        <v>209151</v>
      </c>
      <c r="AC92" s="82">
        <v>17789</v>
      </c>
      <c r="AD92" s="82">
        <v>176774</v>
      </c>
      <c r="AE92" s="82">
        <v>5045</v>
      </c>
      <c r="AF92" s="82">
        <v>93035</v>
      </c>
      <c r="AG92" s="82">
        <v>2376</v>
      </c>
      <c r="AH92" s="82">
        <v>3052</v>
      </c>
      <c r="AI92" s="82">
        <v>28182</v>
      </c>
      <c r="AJ92" s="82">
        <v>25507</v>
      </c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</row>
    <row r="93" spans="1:58" x14ac:dyDescent="0.3">
      <c r="A93" s="15"/>
      <c r="B93" s="3">
        <v>2050</v>
      </c>
      <c r="C93" s="80">
        <f>Y93*(Inputs_Summary!$H75/$Y55)</f>
        <v>75923.542459933436</v>
      </c>
      <c r="D93" s="80">
        <f>Z93*(Inputs_Summary!$H75/$Y55)</f>
        <v>0</v>
      </c>
      <c r="E93" s="80">
        <f>AA93*(Inputs_Summary!$H75/$Y55)</f>
        <v>150793.77857642641</v>
      </c>
      <c r="F93" s="80">
        <f>AB93*(Inputs_Summary!$H75/$Y55)</f>
        <v>286295.78795813193</v>
      </c>
      <c r="G93" s="80">
        <f>AC93*(Inputs_Summary!$H75/$Y55)</f>
        <v>37866.108624861983</v>
      </c>
      <c r="H93" s="44">
        <f>AD93*(Inputs_Summary!$H75/$Y55)</f>
        <v>260611.3961747986</v>
      </c>
      <c r="I93" s="80">
        <f>AE93*(Inputs_Summary!$H75/$Y55)</f>
        <v>0</v>
      </c>
      <c r="J93" s="44">
        <f>AF93*(Inputs_Summary!$H75/$Y55)</f>
        <v>131635.81537327048</v>
      </c>
      <c r="K93" s="80">
        <f>AG93*(Inputs_Summary!$H75/$Y55)</f>
        <v>2161.5678004516999</v>
      </c>
      <c r="L93" s="80">
        <f>AH93*(Inputs_Summary!$H75/$Y55)</f>
        <v>1860.3323631006156</v>
      </c>
      <c r="M93" s="80">
        <f>AI93*(Inputs_Summary!$H75/$Y55)</f>
        <v>26289.915719900546</v>
      </c>
      <c r="N93" s="80">
        <f>AJ93*(Inputs_Summary!$H75/$Y55)</f>
        <v>28447.412771198855</v>
      </c>
      <c r="O93" s="80" t="e">
        <f>AK93*(Inputs_Summary!#REF!/$Y55)</f>
        <v>#REF!</v>
      </c>
      <c r="P93" s="83"/>
      <c r="Q93" s="39"/>
      <c r="R93" s="5"/>
      <c r="T93" s="5"/>
      <c r="U93" s="24"/>
      <c r="V93" s="24"/>
      <c r="W93" s="26"/>
      <c r="X93" s="39"/>
      <c r="Y93" s="82">
        <v>74604</v>
      </c>
      <c r="Z93" s="82">
        <v>0</v>
      </c>
      <c r="AA93" s="82">
        <v>148173</v>
      </c>
      <c r="AB93" s="82">
        <v>281320</v>
      </c>
      <c r="AC93" s="82">
        <v>37208</v>
      </c>
      <c r="AD93" s="82">
        <v>256082</v>
      </c>
      <c r="AE93" s="82">
        <v>0</v>
      </c>
      <c r="AF93" s="82">
        <v>129348</v>
      </c>
      <c r="AG93" s="82">
        <v>2124</v>
      </c>
      <c r="AH93" s="82">
        <v>1828</v>
      </c>
      <c r="AI93" s="82">
        <v>25833</v>
      </c>
      <c r="AJ93" s="82">
        <v>27953</v>
      </c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</row>
    <row r="94" spans="1:58" s="11" customFormat="1" x14ac:dyDescent="0.3">
      <c r="A94" s="20"/>
      <c r="C94" s="83"/>
      <c r="D94" s="83"/>
      <c r="E94" s="83"/>
      <c r="F94" s="83"/>
      <c r="G94" s="83"/>
      <c r="H94" s="56"/>
      <c r="I94" s="83"/>
      <c r="J94" s="56"/>
      <c r="K94" s="83"/>
      <c r="L94" s="83"/>
      <c r="M94" s="83"/>
      <c r="N94" s="83"/>
      <c r="O94" s="83"/>
      <c r="P94" s="83"/>
      <c r="Q94" s="12"/>
      <c r="R94" s="57"/>
      <c r="T94" s="57"/>
      <c r="U94" s="24"/>
      <c r="V94" s="24"/>
      <c r="W94" s="26"/>
      <c r="X94" s="1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</row>
    <row r="95" spans="1:58" ht="28.8" x14ac:dyDescent="0.3">
      <c r="B95" s="43" t="s">
        <v>54</v>
      </c>
      <c r="C95" s="43" t="s">
        <v>0</v>
      </c>
      <c r="D95" s="43" t="s">
        <v>1</v>
      </c>
      <c r="E95" s="43" t="s">
        <v>28</v>
      </c>
      <c r="F95" s="2" t="s">
        <v>29</v>
      </c>
      <c r="G95" s="2" t="s">
        <v>6</v>
      </c>
      <c r="H95" s="43" t="s">
        <v>2</v>
      </c>
      <c r="I95" s="43" t="s">
        <v>3</v>
      </c>
      <c r="J95" s="43" t="s">
        <v>4</v>
      </c>
      <c r="K95" s="43" t="s">
        <v>9</v>
      </c>
      <c r="L95" s="43" t="s">
        <v>8</v>
      </c>
      <c r="M95" s="43" t="s">
        <v>25</v>
      </c>
      <c r="N95" s="43" t="s">
        <v>7</v>
      </c>
      <c r="O95" s="43" t="s">
        <v>89</v>
      </c>
      <c r="P95" s="25"/>
      <c r="Q95" s="43"/>
      <c r="R95" s="43"/>
      <c r="T95" s="43"/>
      <c r="U95" s="25"/>
      <c r="V95" s="25"/>
      <c r="W95" s="25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</row>
    <row r="96" spans="1:58" x14ac:dyDescent="0.3">
      <c r="A96" s="15"/>
      <c r="B96" s="3">
        <v>2016</v>
      </c>
      <c r="C96" s="80">
        <f t="shared" ref="C96:O99" si="43">C90-C52</f>
        <v>42552.435326636099</v>
      </c>
      <c r="D96" s="80">
        <f t="shared" si="43"/>
        <v>-259.96992578286336</v>
      </c>
      <c r="E96" s="80">
        <f t="shared" si="43"/>
        <v>2197.3150618184891</v>
      </c>
      <c r="F96" s="80">
        <f t="shared" si="43"/>
        <v>24084.798169644193</v>
      </c>
      <c r="G96" s="80">
        <f t="shared" si="43"/>
        <v>1480.0309981170321</v>
      </c>
      <c r="H96" s="50">
        <f t="shared" si="43"/>
        <v>551.18839334390805</v>
      </c>
      <c r="I96" s="80">
        <f t="shared" si="43"/>
        <v>94.633274183466256</v>
      </c>
      <c r="J96" s="50">
        <f t="shared" si="43"/>
        <v>45.097541244736476</v>
      </c>
      <c r="K96" s="80">
        <f t="shared" si="43"/>
        <v>0</v>
      </c>
      <c r="L96" s="80">
        <f t="shared" si="43"/>
        <v>291.85038722989998</v>
      </c>
      <c r="M96" s="80">
        <f t="shared" si="43"/>
        <v>0</v>
      </c>
      <c r="N96" s="80">
        <f t="shared" si="43"/>
        <v>9230.1510556878038</v>
      </c>
      <c r="O96" s="80" t="e">
        <f t="shared" si="43"/>
        <v>#REF!</v>
      </c>
      <c r="P96" s="83"/>
      <c r="Q96" s="39"/>
      <c r="R96" s="5"/>
      <c r="T96" s="5"/>
      <c r="U96" s="24"/>
      <c r="V96" s="24"/>
      <c r="W96" s="26"/>
      <c r="X96" s="39"/>
      <c r="Y96" s="82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</row>
    <row r="97" spans="1:58" x14ac:dyDescent="0.3">
      <c r="A97" s="15"/>
      <c r="B97" s="3">
        <v>2030</v>
      </c>
      <c r="C97" s="80">
        <f t="shared" ref="C97:N97" si="44">C91-C53</f>
        <v>34709.263812962105</v>
      </c>
      <c r="D97" s="80">
        <f t="shared" si="44"/>
        <v>144.8386805795235</v>
      </c>
      <c r="E97" s="80">
        <f t="shared" si="44"/>
        <v>17193.983369922775</v>
      </c>
      <c r="F97" s="80">
        <f t="shared" si="44"/>
        <v>97728.369734971275</v>
      </c>
      <c r="G97" s="80">
        <f t="shared" si="44"/>
        <v>5394.7308562331109</v>
      </c>
      <c r="H97" s="50">
        <f t="shared" si="44"/>
        <v>189.71827174501959</v>
      </c>
      <c r="I97" s="80">
        <f t="shared" si="44"/>
        <v>0</v>
      </c>
      <c r="J97" s="50">
        <f t="shared" si="44"/>
        <v>9.1799163747600687</v>
      </c>
      <c r="K97" s="80">
        <f t="shared" si="44"/>
        <v>49.979544707018761</v>
      </c>
      <c r="L97" s="80">
        <f t="shared" si="44"/>
        <v>470.21571652929924</v>
      </c>
      <c r="M97" s="80">
        <f t="shared" si="44"/>
        <v>5418.1906425241605</v>
      </c>
      <c r="N97" s="80">
        <f t="shared" si="44"/>
        <v>19815.359490270494</v>
      </c>
      <c r="O97" s="80" t="e">
        <f t="shared" si="43"/>
        <v>#REF!</v>
      </c>
      <c r="P97" s="83"/>
      <c r="Q97" s="39"/>
      <c r="R97" s="5"/>
      <c r="T97" s="5"/>
      <c r="U97" s="24"/>
      <c r="V97" s="24"/>
      <c r="W97" s="26"/>
      <c r="X97" s="39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</row>
    <row r="98" spans="1:58" x14ac:dyDescent="0.3">
      <c r="A98" s="15"/>
      <c r="B98" s="3">
        <v>2040</v>
      </c>
      <c r="C98" s="80">
        <f t="shared" ref="C98:N98" si="45">C92-C54</f>
        <v>26170.853779813173</v>
      </c>
      <c r="D98" s="80">
        <f t="shared" si="45"/>
        <v>1107.6919308953911</v>
      </c>
      <c r="E98" s="80">
        <f t="shared" si="45"/>
        <v>49795.92420076883</v>
      </c>
      <c r="F98" s="80">
        <f t="shared" si="45"/>
        <v>200204.01865419929</v>
      </c>
      <c r="G98" s="80">
        <f t="shared" si="45"/>
        <v>6293.6585049151599</v>
      </c>
      <c r="H98" s="50">
        <f t="shared" si="45"/>
        <v>1606.806064762146</v>
      </c>
      <c r="I98" s="80">
        <f t="shared" si="45"/>
        <v>0</v>
      </c>
      <c r="J98" s="50">
        <f t="shared" si="45"/>
        <v>7150.2869881914667</v>
      </c>
      <c r="K98" s="80">
        <f t="shared" si="45"/>
        <v>516.18644830483368</v>
      </c>
      <c r="L98" s="80">
        <f t="shared" si="45"/>
        <v>426.80786095244093</v>
      </c>
      <c r="M98" s="80">
        <f t="shared" si="45"/>
        <v>28301.880323203939</v>
      </c>
      <c r="N98" s="80">
        <f t="shared" si="45"/>
        <v>19439.340622250325</v>
      </c>
      <c r="O98" s="80" t="e">
        <f t="shared" si="43"/>
        <v>#REF!</v>
      </c>
      <c r="P98" s="83"/>
      <c r="Q98" s="39"/>
      <c r="R98" s="5"/>
      <c r="T98" s="5"/>
      <c r="U98" s="24"/>
      <c r="V98" s="24"/>
      <c r="W98" s="26"/>
      <c r="X98" s="39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</row>
    <row r="99" spans="1:58" x14ac:dyDescent="0.3">
      <c r="A99" s="15"/>
      <c r="B99" s="3">
        <v>2050</v>
      </c>
      <c r="C99" s="80">
        <f t="shared" ref="C99:N99" si="46">C93-C55</f>
        <v>16247.377558479937</v>
      </c>
      <c r="D99" s="80">
        <f t="shared" si="46"/>
        <v>0</v>
      </c>
      <c r="E99" s="80">
        <f t="shared" si="46"/>
        <v>95715.524843730353</v>
      </c>
      <c r="F99" s="80">
        <f t="shared" si="46"/>
        <v>273765.0043766998</v>
      </c>
      <c r="G99" s="80">
        <f t="shared" si="46"/>
        <v>11158.94111673865</v>
      </c>
      <c r="H99" s="50">
        <f t="shared" si="46"/>
        <v>3642.3028049984132</v>
      </c>
      <c r="I99" s="80">
        <f t="shared" si="46"/>
        <v>0</v>
      </c>
      <c r="J99" s="50">
        <f t="shared" si="46"/>
        <v>22293.457738556957</v>
      </c>
      <c r="K99" s="80">
        <f t="shared" si="46"/>
        <v>720.52260015056663</v>
      </c>
      <c r="L99" s="80">
        <f t="shared" si="46"/>
        <v>233.05038903175114</v>
      </c>
      <c r="M99" s="80">
        <f t="shared" si="46"/>
        <v>26289.915719900546</v>
      </c>
      <c r="N99" s="80">
        <f t="shared" si="46"/>
        <v>22475.623763171279</v>
      </c>
      <c r="O99" s="80" t="e">
        <f t="shared" si="43"/>
        <v>#REF!</v>
      </c>
      <c r="P99" s="83"/>
      <c r="Q99" s="39"/>
      <c r="R99" s="5"/>
      <c r="T99" s="5"/>
      <c r="U99" s="24"/>
      <c r="V99" s="24"/>
      <c r="W99" s="26"/>
      <c r="X99" s="39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</row>
    <row r="100" spans="1:58" s="11" customFormat="1" x14ac:dyDescent="0.3">
      <c r="A100" s="20"/>
      <c r="C100" s="83"/>
      <c r="D100" s="83"/>
      <c r="E100" s="83"/>
      <c r="F100" s="83"/>
      <c r="G100" s="83"/>
      <c r="H100" s="56"/>
      <c r="I100" s="83"/>
      <c r="J100" s="56"/>
      <c r="K100" s="83"/>
      <c r="L100" s="83"/>
      <c r="M100" s="83"/>
      <c r="N100" s="83"/>
      <c r="O100" s="83"/>
      <c r="P100" s="83"/>
      <c r="Q100" s="12"/>
      <c r="R100" s="57"/>
      <c r="T100" s="57"/>
      <c r="U100" s="24"/>
      <c r="V100" s="24"/>
      <c r="W100" s="26"/>
      <c r="X100" s="1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</row>
    <row r="101" spans="1:58" s="11" customFormat="1" ht="28.8" x14ac:dyDescent="0.3">
      <c r="A101" s="20"/>
      <c r="B101" s="43" t="s">
        <v>55</v>
      </c>
      <c r="C101" s="43" t="s">
        <v>0</v>
      </c>
      <c r="D101" s="43" t="s">
        <v>1</v>
      </c>
      <c r="E101" s="43" t="s">
        <v>28</v>
      </c>
      <c r="F101" s="2" t="s">
        <v>29</v>
      </c>
      <c r="G101" s="2" t="s">
        <v>6</v>
      </c>
      <c r="H101" s="43" t="s">
        <v>2</v>
      </c>
      <c r="I101" s="43" t="s">
        <v>3</v>
      </c>
      <c r="J101" s="43" t="s">
        <v>4</v>
      </c>
      <c r="K101" s="43" t="s">
        <v>9</v>
      </c>
      <c r="L101" s="43" t="s">
        <v>8</v>
      </c>
      <c r="M101" s="43" t="s">
        <v>25</v>
      </c>
      <c r="N101" s="43" t="s">
        <v>7</v>
      </c>
      <c r="O101" s="43" t="s">
        <v>89</v>
      </c>
      <c r="P101" s="25"/>
      <c r="Q101" s="12"/>
      <c r="R101" s="57"/>
      <c r="T101" s="57"/>
      <c r="U101" s="24"/>
      <c r="V101" s="24"/>
      <c r="W101" s="26"/>
      <c r="Y101" s="14"/>
    </row>
    <row r="102" spans="1:58" x14ac:dyDescent="0.3">
      <c r="B102" s="3">
        <v>2016</v>
      </c>
      <c r="C102" s="81">
        <f>IFERROR(C96/C90,"")</f>
        <v>0.17927288964543592</v>
      </c>
      <c r="D102" s="81">
        <f t="shared" ref="D102:O105" si="47">IFERROR(D96/D90,"")</f>
        <v>-1.7948878804098289E-2</v>
      </c>
      <c r="E102" s="81">
        <f t="shared" si="47"/>
        <v>0.74399713866962502</v>
      </c>
      <c r="F102" s="81">
        <f t="shared" si="47"/>
        <v>0.92246715692202663</v>
      </c>
      <c r="G102" s="81">
        <f t="shared" si="47"/>
        <v>8.5654129224076822E-2</v>
      </c>
      <c r="H102" s="23">
        <f t="shared" si="47"/>
        <v>0.12052036329123625</v>
      </c>
      <c r="I102" s="81">
        <f t="shared" si="47"/>
        <v>0.10260538421919466</v>
      </c>
      <c r="J102" s="23">
        <f t="shared" si="47"/>
        <v>1.6801212216003624E-2</v>
      </c>
      <c r="K102" s="81" t="str">
        <f t="shared" si="47"/>
        <v/>
      </c>
      <c r="L102" s="81">
        <f t="shared" si="47"/>
        <v>0.15560498134355533</v>
      </c>
      <c r="M102" s="81" t="str">
        <f t="shared" si="47"/>
        <v/>
      </c>
      <c r="N102" s="81">
        <f t="shared" si="47"/>
        <v>0.75505074314129783</v>
      </c>
      <c r="O102" s="81" t="str">
        <f t="shared" si="47"/>
        <v/>
      </c>
      <c r="P102" s="98"/>
      <c r="Q102" s="7"/>
      <c r="R102" s="7"/>
      <c r="T102" s="8"/>
    </row>
    <row r="103" spans="1:58" x14ac:dyDescent="0.3">
      <c r="B103" s="3">
        <v>2030</v>
      </c>
      <c r="C103" s="81">
        <f t="shared" ref="C103:N103" si="48">IFERROR(C97/C91,"")</f>
        <v>0.15410637864275528</v>
      </c>
      <c r="D103" s="81">
        <f t="shared" si="48"/>
        <v>9.8755129007580249E-3</v>
      </c>
      <c r="E103" s="81">
        <f t="shared" si="48"/>
        <v>0.67020515267175584</v>
      </c>
      <c r="F103" s="81">
        <f t="shared" si="48"/>
        <v>0.96190065055015672</v>
      </c>
      <c r="G103" s="81">
        <f t="shared" si="48"/>
        <v>0.30252245038036951</v>
      </c>
      <c r="H103" s="23">
        <f t="shared" si="48"/>
        <v>2.356846893650569E-3</v>
      </c>
      <c r="I103" s="81">
        <f t="shared" si="48"/>
        <v>0</v>
      </c>
      <c r="J103" s="23">
        <f t="shared" si="48"/>
        <v>3.3776176536821602E-4</v>
      </c>
      <c r="K103" s="81">
        <f t="shared" si="48"/>
        <v>0.12311557788944716</v>
      </c>
      <c r="L103" s="81">
        <f t="shared" si="48"/>
        <v>0.1537179059686562</v>
      </c>
      <c r="M103" s="81">
        <f t="shared" si="48"/>
        <v>1</v>
      </c>
      <c r="N103" s="81">
        <f t="shared" si="48"/>
        <v>0.77419997608894919</v>
      </c>
      <c r="O103" s="81" t="str">
        <f t="shared" si="47"/>
        <v/>
      </c>
      <c r="P103" s="98"/>
      <c r="Q103" s="7"/>
      <c r="R103" s="7"/>
      <c r="T103" s="8"/>
    </row>
    <row r="104" spans="1:58" x14ac:dyDescent="0.3">
      <c r="B104" s="3">
        <v>2040</v>
      </c>
      <c r="C104" s="81">
        <f t="shared" ref="C104:N104" si="49">IFERROR(C98/C92,"")</f>
        <v>0.21383265912317129</v>
      </c>
      <c r="D104" s="81">
        <f t="shared" si="49"/>
        <v>7.507998094071193E-2</v>
      </c>
      <c r="E104" s="81">
        <f t="shared" si="49"/>
        <v>0.6462438744656448</v>
      </c>
      <c r="F104" s="81">
        <f t="shared" si="49"/>
        <v>0.95316780699112125</v>
      </c>
      <c r="G104" s="81">
        <f t="shared" si="49"/>
        <v>0.3522963629209061</v>
      </c>
      <c r="H104" s="23">
        <f t="shared" si="49"/>
        <v>9.0511048004798082E-3</v>
      </c>
      <c r="I104" s="81">
        <f t="shared" si="49"/>
        <v>0</v>
      </c>
      <c r="J104" s="23">
        <f t="shared" si="49"/>
        <v>7.6530338044821788E-2</v>
      </c>
      <c r="K104" s="81">
        <f t="shared" si="49"/>
        <v>0.21632996632996632</v>
      </c>
      <c r="L104" s="81">
        <f t="shared" si="49"/>
        <v>0.13925294888597659</v>
      </c>
      <c r="M104" s="81">
        <f t="shared" si="49"/>
        <v>1</v>
      </c>
      <c r="N104" s="81">
        <f t="shared" si="49"/>
        <v>0.75888971654839854</v>
      </c>
      <c r="O104" s="81" t="str">
        <f t="shared" si="47"/>
        <v/>
      </c>
      <c r="P104" s="98"/>
      <c r="Q104" s="7"/>
      <c r="R104" s="7"/>
      <c r="T104" s="8"/>
    </row>
    <row r="105" spans="1:58" x14ac:dyDescent="0.3">
      <c r="B105" s="3">
        <v>2050</v>
      </c>
      <c r="C105" s="81">
        <f t="shared" ref="C105:N105" si="50">IFERROR(C99/C93,"")</f>
        <v>0.21399656854860327</v>
      </c>
      <c r="D105" s="81" t="str">
        <f t="shared" si="50"/>
        <v/>
      </c>
      <c r="E105" s="81">
        <f t="shared" si="50"/>
        <v>0.63474452160650052</v>
      </c>
      <c r="F105" s="81">
        <f t="shared" si="50"/>
        <v>0.95623133797810311</v>
      </c>
      <c r="G105" s="81">
        <f t="shared" si="50"/>
        <v>0.29469468931412601</v>
      </c>
      <c r="H105" s="23">
        <f t="shared" si="50"/>
        <v>1.3975992065041657E-2</v>
      </c>
      <c r="I105" s="81" t="str">
        <f t="shared" si="50"/>
        <v/>
      </c>
      <c r="J105" s="23">
        <f t="shared" si="50"/>
        <v>0.16935708321736723</v>
      </c>
      <c r="K105" s="81">
        <f t="shared" si="50"/>
        <v>0.33333333333333331</v>
      </c>
      <c r="L105" s="81">
        <f t="shared" si="50"/>
        <v>0.12527352297593</v>
      </c>
      <c r="M105" s="81">
        <f t="shared" si="50"/>
        <v>1</v>
      </c>
      <c r="N105" s="81">
        <f t="shared" si="50"/>
        <v>0.79007619933459738</v>
      </c>
      <c r="O105" s="81" t="str">
        <f t="shared" si="47"/>
        <v/>
      </c>
      <c r="P105" s="98"/>
      <c r="Q105" s="7"/>
      <c r="R105" s="7"/>
      <c r="T105" s="8"/>
    </row>
    <row r="106" spans="1:58" x14ac:dyDescent="0.3"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</row>
    <row r="107" spans="1:58" s="9" customFormat="1" ht="21" x14ac:dyDescent="0.4">
      <c r="B107" s="10" t="s">
        <v>17</v>
      </c>
    </row>
    <row r="108" spans="1:58" s="32" customFormat="1" ht="21" x14ac:dyDescent="0.4">
      <c r="B108" s="31"/>
      <c r="P108" s="58"/>
    </row>
    <row r="109" spans="1:58" ht="28.8" x14ac:dyDescent="0.3">
      <c r="B109" s="43" t="s">
        <v>40</v>
      </c>
      <c r="C109" s="43" t="s">
        <v>0</v>
      </c>
      <c r="D109" s="43" t="s">
        <v>1</v>
      </c>
      <c r="E109" s="43" t="s">
        <v>28</v>
      </c>
      <c r="F109" s="2" t="s">
        <v>29</v>
      </c>
      <c r="G109" s="2" t="s">
        <v>6</v>
      </c>
      <c r="H109" s="43" t="s">
        <v>2</v>
      </c>
      <c r="I109" s="43" t="s">
        <v>3</v>
      </c>
      <c r="J109" s="43" t="s">
        <v>4</v>
      </c>
      <c r="K109" s="43" t="s">
        <v>9</v>
      </c>
      <c r="L109" s="43" t="s">
        <v>8</v>
      </c>
      <c r="M109" s="43" t="s">
        <v>25</v>
      </c>
      <c r="N109" s="43" t="s">
        <v>7</v>
      </c>
      <c r="O109" s="43" t="s">
        <v>89</v>
      </c>
      <c r="P109" s="25"/>
      <c r="Q109" s="43" t="s">
        <v>5</v>
      </c>
      <c r="R109" s="43" t="s">
        <v>91</v>
      </c>
      <c r="T109" s="43" t="s">
        <v>10</v>
      </c>
    </row>
    <row r="110" spans="1:58" x14ac:dyDescent="0.3">
      <c r="B110" s="3">
        <v>2016</v>
      </c>
      <c r="C110" s="51">
        <f>Inputs_Summary!E$5*C34/1000000</f>
        <v>210.12155916232655</v>
      </c>
      <c r="D110" s="51">
        <f>Inputs_Summary!F$5*D34/1000000</f>
        <v>0</v>
      </c>
      <c r="E110" s="51">
        <f>Inputs_Summary!G$5*E34/1000000</f>
        <v>0.27748016944768411</v>
      </c>
      <c r="F110" s="51">
        <f>Inputs_Summary!H$5*F34/1000000</f>
        <v>1.1619560473070238</v>
      </c>
      <c r="G110" s="51">
        <f>Inputs_Summary!I$5*G34/1000000</f>
        <v>0</v>
      </c>
      <c r="H110" s="51">
        <f>Inputs_Summary!J$5*H34/1000000</f>
        <v>0</v>
      </c>
      <c r="I110" s="51">
        <f>Inputs_Summary!K$5*I34/1000000</f>
        <v>0</v>
      </c>
      <c r="J110" s="51">
        <f>Inputs_Summary!L$5*J34/1000000</f>
        <v>0</v>
      </c>
      <c r="K110" s="51">
        <f>Inputs_Summary!M$5*K34/1000000</f>
        <v>0</v>
      </c>
      <c r="L110" s="51">
        <f>Inputs_Summary!N$5*L34/1000000</f>
        <v>0</v>
      </c>
      <c r="M110" s="51">
        <f>Inputs_Summary!O$5*M34/1000000</f>
        <v>0</v>
      </c>
      <c r="N110" s="51">
        <f>Inputs_Summary!P$5*N34/1000000</f>
        <v>5.9887859519957903E-4</v>
      </c>
      <c r="O110" s="51">
        <f>Inputs_Summary!R$5*O34/1000000</f>
        <v>0</v>
      </c>
      <c r="P110" s="97"/>
      <c r="Q110" s="39">
        <f>G110+N110</f>
        <v>5.9887859519957903E-4</v>
      </c>
      <c r="R110" s="5">
        <f>SUM(K110:L110)</f>
        <v>0</v>
      </c>
      <c r="T110" s="5">
        <f>SUM(C110:O110)</f>
        <v>211.56159425767646</v>
      </c>
    </row>
    <row r="111" spans="1:58" x14ac:dyDescent="0.3">
      <c r="B111" s="3">
        <v>2030</v>
      </c>
      <c r="C111" s="51">
        <f>Inputs_Summary!E$5*C35/1000000</f>
        <v>134.93096862544482</v>
      </c>
      <c r="D111" s="51">
        <f>Inputs_Summary!F$5*D35/1000000</f>
        <v>0</v>
      </c>
      <c r="E111" s="51">
        <f>Inputs_Summary!G$5*E35/1000000</f>
        <v>0.81343340995806379</v>
      </c>
      <c r="F111" s="51">
        <f>Inputs_Summary!H$5*F35/1000000</f>
        <v>9.133404798459778E-2</v>
      </c>
      <c r="G111" s="51">
        <f>Inputs_Summary!I$5*G35/1000000</f>
        <v>0</v>
      </c>
      <c r="H111" s="51">
        <f>Inputs_Summary!J$5*H35/1000000</f>
        <v>0</v>
      </c>
      <c r="I111" s="51">
        <f>Inputs_Summary!K$5*I35/1000000</f>
        <v>0</v>
      </c>
      <c r="J111" s="51">
        <f>Inputs_Summary!L$5*J35/1000000</f>
        <v>0</v>
      </c>
      <c r="K111" s="51">
        <f>Inputs_Summary!M$5*K35/1000000</f>
        <v>0</v>
      </c>
      <c r="L111" s="51">
        <f>Inputs_Summary!N$5*L35/1000000</f>
        <v>0</v>
      </c>
      <c r="M111" s="51">
        <f>Inputs_Summary!O$5*M35/1000000</f>
        <v>0</v>
      </c>
      <c r="N111" s="51">
        <f>Inputs_Summary!P$5*N35/1000000</f>
        <v>5.4691901779394859E-4</v>
      </c>
      <c r="O111" s="51">
        <f>Inputs_Summary!R$5*O35/1000000</f>
        <v>0</v>
      </c>
      <c r="P111" s="97"/>
      <c r="Q111" s="39">
        <f>G111+N111</f>
        <v>5.4691901779394859E-4</v>
      </c>
      <c r="R111" s="5">
        <f>SUM(K111:L111)</f>
        <v>0</v>
      </c>
      <c r="T111" s="5">
        <f t="shared" ref="T111:T113" si="51">SUM(C111:O111)</f>
        <v>135.83628300240528</v>
      </c>
    </row>
    <row r="112" spans="1:58" x14ac:dyDescent="0.3">
      <c r="B112" s="3">
        <v>2040</v>
      </c>
      <c r="C112" s="51">
        <f>Inputs_Summary!E$5*C36/1000000</f>
        <v>37.390710645703315</v>
      </c>
      <c r="D112" s="51">
        <f>Inputs_Summary!F$5*D36/1000000</f>
        <v>0</v>
      </c>
      <c r="E112" s="51">
        <f>Inputs_Summary!G$5*E36/1000000</f>
        <v>0.82299702808704789</v>
      </c>
      <c r="F112" s="51">
        <f>Inputs_Summary!H$5*F36/1000000</f>
        <v>4.5538892382939671E-2</v>
      </c>
      <c r="G112" s="51">
        <f>Inputs_Summary!I$5*G36/1000000</f>
        <v>0</v>
      </c>
      <c r="H112" s="51">
        <f>Inputs_Summary!J$5*H36/1000000</f>
        <v>0</v>
      </c>
      <c r="I112" s="51">
        <f>Inputs_Summary!K$5*I36/1000000</f>
        <v>0</v>
      </c>
      <c r="J112" s="51">
        <f>Inputs_Summary!L$5*J36/1000000</f>
        <v>0</v>
      </c>
      <c r="K112" s="51">
        <f>Inputs_Summary!M$5*K36/1000000</f>
        <v>0</v>
      </c>
      <c r="L112" s="51">
        <f>Inputs_Summary!N$5*L36/1000000</f>
        <v>0</v>
      </c>
      <c r="M112" s="51">
        <f>Inputs_Summary!O$5*M36/1000000</f>
        <v>0</v>
      </c>
      <c r="N112" s="51">
        <f>Inputs_Summary!P$5*N36/1000000</f>
        <v>5.8608251212198623E-4</v>
      </c>
      <c r="O112" s="51">
        <f>Inputs_Summary!R$5*O36/1000000</f>
        <v>0</v>
      </c>
      <c r="P112" s="97"/>
      <c r="Q112" s="39">
        <f>G112+N112</f>
        <v>5.8608251212198623E-4</v>
      </c>
      <c r="R112" s="5">
        <f>SUM(K112:L112)</f>
        <v>0</v>
      </c>
      <c r="T112" s="5">
        <f t="shared" si="51"/>
        <v>38.259832648685425</v>
      </c>
    </row>
    <row r="113" spans="2:20" x14ac:dyDescent="0.3">
      <c r="B113" s="3">
        <v>2050</v>
      </c>
      <c r="C113" s="51">
        <f>Inputs_Summary!E$5*C37/1000000</f>
        <v>0</v>
      </c>
      <c r="D113" s="51">
        <f>Inputs_Summary!F$5*D37/1000000</f>
        <v>0</v>
      </c>
      <c r="E113" s="51">
        <f>Inputs_Summary!G$5*E37/1000000</f>
        <v>0.82429515525615005</v>
      </c>
      <c r="F113" s="51">
        <f>Inputs_Summary!H$5*F37/1000000</f>
        <v>0</v>
      </c>
      <c r="G113" s="51">
        <f>Inputs_Summary!I$5*G37/1000000</f>
        <v>0</v>
      </c>
      <c r="H113" s="51">
        <f>Inputs_Summary!J$5*H37/1000000</f>
        <v>0</v>
      </c>
      <c r="I113" s="51">
        <f>Inputs_Summary!K$5*I37/1000000</f>
        <v>0</v>
      </c>
      <c r="J113" s="51">
        <f>Inputs_Summary!L$5*J37/1000000</f>
        <v>0</v>
      </c>
      <c r="K113" s="51">
        <f>Inputs_Summary!M$5*K37/1000000</f>
        <v>0</v>
      </c>
      <c r="L113" s="51">
        <f>Inputs_Summary!N$5*L37/1000000</f>
        <v>0</v>
      </c>
      <c r="M113" s="51">
        <f>Inputs_Summary!O$5*M37/1000000</f>
        <v>0</v>
      </c>
      <c r="N113" s="51">
        <f>Inputs_Summary!P$5*N37/1000000</f>
        <v>5.7051549384803339E-4</v>
      </c>
      <c r="O113" s="51">
        <f>Inputs_Summary!R$5*O37/1000000</f>
        <v>0</v>
      </c>
      <c r="P113" s="97"/>
      <c r="Q113" s="39">
        <f>G113+N113</f>
        <v>5.7051549384803339E-4</v>
      </c>
      <c r="R113" s="5">
        <f>SUM(K113:L113)</f>
        <v>0</v>
      </c>
      <c r="T113" s="5">
        <f t="shared" si="51"/>
        <v>0.82486567074999806</v>
      </c>
    </row>
    <row r="114" spans="2:20" x14ac:dyDescent="0.3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28"/>
      <c r="Q114" s="5"/>
      <c r="R114" s="5"/>
      <c r="S114" s="5"/>
      <c r="T114" s="5"/>
    </row>
    <row r="115" spans="2:20" ht="28.8" x14ac:dyDescent="0.3">
      <c r="B115" s="43" t="s">
        <v>41</v>
      </c>
      <c r="C115" s="43" t="s">
        <v>0</v>
      </c>
      <c r="D115" s="43" t="s">
        <v>1</v>
      </c>
      <c r="E115" s="43" t="s">
        <v>28</v>
      </c>
      <c r="F115" s="2" t="s">
        <v>29</v>
      </c>
      <c r="G115" s="2" t="s">
        <v>6</v>
      </c>
      <c r="H115" s="43" t="s">
        <v>2</v>
      </c>
      <c r="I115" s="43" t="s">
        <v>3</v>
      </c>
      <c r="J115" s="43" t="s">
        <v>4</v>
      </c>
      <c r="K115" s="43" t="s">
        <v>9</v>
      </c>
      <c r="L115" s="43" t="s">
        <v>8</v>
      </c>
      <c r="M115" s="43" t="s">
        <v>25</v>
      </c>
      <c r="N115" s="43" t="s">
        <v>7</v>
      </c>
      <c r="O115" s="43" t="s">
        <v>89</v>
      </c>
      <c r="P115" s="25"/>
      <c r="Q115" s="43" t="s">
        <v>5</v>
      </c>
      <c r="R115" s="43" t="s">
        <v>91</v>
      </c>
      <c r="T115" s="43" t="s">
        <v>10</v>
      </c>
    </row>
    <row r="116" spans="2:20" x14ac:dyDescent="0.3">
      <c r="B116" s="3">
        <v>2016</v>
      </c>
      <c r="C116" s="51">
        <f>Inputs_Summary!E$8*C40/1000000</f>
        <v>0</v>
      </c>
      <c r="D116" s="51">
        <f>Inputs_Summary!F$8*D40/1000000</f>
        <v>0</v>
      </c>
      <c r="E116" s="51">
        <f>Inputs_Summary!G$8*E40/1000000</f>
        <v>0</v>
      </c>
      <c r="F116" s="51">
        <f>Inputs_Summary!H$8*F40/1000000</f>
        <v>0</v>
      </c>
      <c r="G116" s="51">
        <f>Inputs_Summary!I$8*G40/1000000</f>
        <v>0</v>
      </c>
      <c r="H116" s="51">
        <f>Inputs_Summary!J$8*H40/1000000</f>
        <v>0</v>
      </c>
      <c r="I116" s="51">
        <f>Inputs_Summary!K$8*I40/1000000</f>
        <v>0</v>
      </c>
      <c r="J116" s="51">
        <f>Inputs_Summary!L$8*J40/1000000</f>
        <v>0</v>
      </c>
      <c r="K116" s="51">
        <f>Inputs_Summary!M$8*K40/1000000</f>
        <v>0</v>
      </c>
      <c r="L116" s="51">
        <f>Inputs_Summary!N$8*L40/1000000</f>
        <v>0</v>
      </c>
      <c r="M116" s="51">
        <f>Inputs_Summary!O$8*M40/1000000</f>
        <v>0</v>
      </c>
      <c r="N116" s="51">
        <f>Inputs_Summary!P$8*N40/1000000</f>
        <v>0</v>
      </c>
      <c r="O116" s="51">
        <f>Inputs_Summary!R$8*O40/1000000</f>
        <v>0</v>
      </c>
      <c r="P116" s="97"/>
      <c r="Q116" s="39">
        <f>G116+N116</f>
        <v>0</v>
      </c>
      <c r="R116" s="5">
        <f>SUM(K116:L116)</f>
        <v>0</v>
      </c>
      <c r="T116" s="5">
        <f>SUM(C116:O116)</f>
        <v>0</v>
      </c>
    </row>
    <row r="117" spans="2:20" x14ac:dyDescent="0.3">
      <c r="B117" s="3">
        <v>2030</v>
      </c>
      <c r="C117" s="51">
        <f>Inputs_Summary!E$8*C41/1000000</f>
        <v>63.83395584890097</v>
      </c>
      <c r="D117" s="51">
        <f>Inputs_Summary!F$8*D41/1000000</f>
        <v>0</v>
      </c>
      <c r="E117" s="51">
        <f>Inputs_Summary!G$8*E41/1000000</f>
        <v>0</v>
      </c>
      <c r="F117" s="51">
        <f>Inputs_Summary!H$8*F41/1000000</f>
        <v>0</v>
      </c>
      <c r="G117" s="51">
        <f>Inputs_Summary!I$8*G41/1000000</f>
        <v>0</v>
      </c>
      <c r="H117" s="51">
        <f>Inputs_Summary!J$8*H41/1000000</f>
        <v>0</v>
      </c>
      <c r="I117" s="51">
        <f>Inputs_Summary!K$8*I41/1000000</f>
        <v>0</v>
      </c>
      <c r="J117" s="51">
        <f>Inputs_Summary!L$8*J41/1000000</f>
        <v>0</v>
      </c>
      <c r="K117" s="51">
        <f>Inputs_Summary!M$8*K41/1000000</f>
        <v>0</v>
      </c>
      <c r="L117" s="51">
        <f>Inputs_Summary!N$8*L41/1000000</f>
        <v>0</v>
      </c>
      <c r="M117" s="51">
        <f>Inputs_Summary!O$8*M41/1000000</f>
        <v>0</v>
      </c>
      <c r="N117" s="51">
        <f>Inputs_Summary!P$8*N41/1000000</f>
        <v>6.0893445285898414E-4</v>
      </c>
      <c r="O117" s="51">
        <f>Inputs_Summary!R$8*O41/1000000</f>
        <v>0</v>
      </c>
      <c r="P117" s="97"/>
      <c r="Q117" s="39">
        <f>G117+N117</f>
        <v>6.0893445285898414E-4</v>
      </c>
      <c r="R117" s="5">
        <f>SUM(K117:L117)</f>
        <v>0</v>
      </c>
      <c r="T117" s="5">
        <f t="shared" ref="T117:T119" si="52">SUM(C117:O117)</f>
        <v>63.834564783353827</v>
      </c>
    </row>
    <row r="118" spans="2:20" x14ac:dyDescent="0.3">
      <c r="B118" s="3">
        <v>2040</v>
      </c>
      <c r="C118" s="51">
        <f>Inputs_Summary!E$8*C42/1000000</f>
        <v>60.058414132837541</v>
      </c>
      <c r="D118" s="51">
        <f>Inputs_Summary!F$8*D42/1000000</f>
        <v>0</v>
      </c>
      <c r="E118" s="51">
        <f>Inputs_Summary!G$8*E42/1000000</f>
        <v>0</v>
      </c>
      <c r="F118" s="51">
        <f>Inputs_Summary!H$8*F42/1000000</f>
        <v>0</v>
      </c>
      <c r="G118" s="51">
        <f>Inputs_Summary!I$8*G42/1000000</f>
        <v>0</v>
      </c>
      <c r="H118" s="51">
        <f>Inputs_Summary!J$8*H42/1000000</f>
        <v>0</v>
      </c>
      <c r="I118" s="51">
        <f>Inputs_Summary!K$8*I42/1000000</f>
        <v>0</v>
      </c>
      <c r="J118" s="51">
        <f>Inputs_Summary!L$8*J42/1000000</f>
        <v>0</v>
      </c>
      <c r="K118" s="51">
        <f>Inputs_Summary!M$8*K42/1000000</f>
        <v>0</v>
      </c>
      <c r="L118" s="51">
        <f>Inputs_Summary!N$8*L42/1000000</f>
        <v>0</v>
      </c>
      <c r="M118" s="51">
        <f>Inputs_Summary!O$8*M42/1000000</f>
        <v>0</v>
      </c>
      <c r="N118" s="51">
        <f>Inputs_Summary!P$8*N42/1000000</f>
        <v>6.4914965016389984E-4</v>
      </c>
      <c r="O118" s="51">
        <f>Inputs_Summary!R$8*O42/1000000</f>
        <v>0</v>
      </c>
      <c r="P118" s="97"/>
      <c r="Q118" s="39">
        <f>G118+N118</f>
        <v>6.4914965016389984E-4</v>
      </c>
      <c r="R118" s="5">
        <f>SUM(K118:L118)</f>
        <v>0</v>
      </c>
      <c r="T118" s="5">
        <f t="shared" si="52"/>
        <v>60.059063282487706</v>
      </c>
    </row>
    <row r="119" spans="2:20" x14ac:dyDescent="0.3">
      <c r="B119" s="3">
        <v>2050</v>
      </c>
      <c r="C119" s="51">
        <f>Inputs_Summary!E$8*C43/1000000</f>
        <v>58.227412726097057</v>
      </c>
      <c r="D119" s="51">
        <f>Inputs_Summary!F$8*D43/1000000</f>
        <v>0</v>
      </c>
      <c r="E119" s="51">
        <f>Inputs_Summary!G$8*E43/1000000</f>
        <v>0</v>
      </c>
      <c r="F119" s="51">
        <f>Inputs_Summary!H$8*F43/1000000</f>
        <v>0</v>
      </c>
      <c r="G119" s="51">
        <f>Inputs_Summary!I$8*G43/1000000</f>
        <v>0</v>
      </c>
      <c r="H119" s="51">
        <f>Inputs_Summary!J$8*H43/1000000</f>
        <v>0</v>
      </c>
      <c r="I119" s="51">
        <f>Inputs_Summary!K$8*I43/1000000</f>
        <v>0</v>
      </c>
      <c r="J119" s="51">
        <f>Inputs_Summary!L$8*J43/1000000</f>
        <v>0</v>
      </c>
      <c r="K119" s="51">
        <f>Inputs_Summary!M$8*K43/1000000</f>
        <v>0</v>
      </c>
      <c r="L119" s="51">
        <f>Inputs_Summary!N$8*L43/1000000</f>
        <v>0</v>
      </c>
      <c r="M119" s="51">
        <f>Inputs_Summary!O$8*M43/1000000</f>
        <v>0</v>
      </c>
      <c r="N119" s="51">
        <f>Inputs_Summary!P$8*N43/1000000</f>
        <v>6.2384230775748215E-4</v>
      </c>
      <c r="O119" s="51">
        <f>Inputs_Summary!R$8*O43/1000000</f>
        <v>0</v>
      </c>
      <c r="P119" s="97"/>
      <c r="Q119" s="39">
        <f>G119+N119</f>
        <v>6.2384230775748215E-4</v>
      </c>
      <c r="R119" s="5">
        <f>SUM(K119:L119)</f>
        <v>0</v>
      </c>
      <c r="T119" s="5">
        <f t="shared" si="52"/>
        <v>58.228036568404818</v>
      </c>
    </row>
    <row r="120" spans="2:20" x14ac:dyDescent="0.3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28"/>
      <c r="Q120" s="5"/>
      <c r="R120" s="5"/>
      <c r="S120" s="5"/>
      <c r="T120" s="5"/>
    </row>
    <row r="121" spans="2:20" ht="28.8" x14ac:dyDescent="0.3">
      <c r="B121" s="43" t="s">
        <v>42</v>
      </c>
      <c r="C121" s="43" t="s">
        <v>0</v>
      </c>
      <c r="D121" s="43" t="s">
        <v>1</v>
      </c>
      <c r="E121" s="43" t="s">
        <v>28</v>
      </c>
      <c r="F121" s="2" t="s">
        <v>29</v>
      </c>
      <c r="G121" s="2" t="s">
        <v>6</v>
      </c>
      <c r="H121" s="43" t="s">
        <v>2</v>
      </c>
      <c r="I121" s="43" t="s">
        <v>3</v>
      </c>
      <c r="J121" s="43" t="s">
        <v>4</v>
      </c>
      <c r="K121" s="43" t="s">
        <v>9</v>
      </c>
      <c r="L121" s="43" t="s">
        <v>8</v>
      </c>
      <c r="M121" s="43" t="s">
        <v>25</v>
      </c>
      <c r="N121" s="43" t="s">
        <v>7</v>
      </c>
      <c r="O121" s="43" t="s">
        <v>89</v>
      </c>
      <c r="P121" s="25"/>
      <c r="Q121" s="43" t="s">
        <v>5</v>
      </c>
      <c r="R121" s="43" t="s">
        <v>91</v>
      </c>
      <c r="T121" s="43" t="s">
        <v>10</v>
      </c>
    </row>
    <row r="122" spans="2:20" x14ac:dyDescent="0.3">
      <c r="B122" s="3">
        <v>2016</v>
      </c>
      <c r="C122" s="51">
        <f>Inputs_Summary!E$11*C46/1000000</f>
        <v>0</v>
      </c>
      <c r="D122" s="51">
        <f>Inputs_Summary!F$11*D46/1000000</f>
        <v>0</v>
      </c>
      <c r="E122" s="51">
        <f>Inputs_Summary!G$11*E46/1000000</f>
        <v>0</v>
      </c>
      <c r="F122" s="51">
        <f>Inputs_Summary!H$11*F46/1000000</f>
        <v>0</v>
      </c>
      <c r="G122" s="51">
        <f>Inputs_Summary!I$11*G46/1000000</f>
        <v>0</v>
      </c>
      <c r="H122" s="51">
        <f>Inputs_Summary!J$11*H46/1000000</f>
        <v>0</v>
      </c>
      <c r="I122" s="51">
        <f>Inputs_Summary!K$11*I46/1000000</f>
        <v>0</v>
      </c>
      <c r="J122" s="51">
        <f>Inputs_Summary!L$11*J46/1000000</f>
        <v>0</v>
      </c>
      <c r="K122" s="51">
        <f>Inputs_Summary!M$11*K46/1000000</f>
        <v>0</v>
      </c>
      <c r="L122" s="51">
        <f>Inputs_Summary!N$11*L46/1000000</f>
        <v>0</v>
      </c>
      <c r="M122" s="51">
        <f>Inputs_Summary!O$11*M46/1000000</f>
        <v>0</v>
      </c>
      <c r="N122" s="51">
        <f>Inputs_Summary!P$11*N46/1000000</f>
        <v>0</v>
      </c>
      <c r="O122" s="51">
        <f>Inputs_Summary!R$11*O46/1000000</f>
        <v>0</v>
      </c>
      <c r="P122" s="97"/>
      <c r="Q122" s="39">
        <f>G122+N122</f>
        <v>0</v>
      </c>
      <c r="R122" s="5">
        <f>SUM(K122:L122)</f>
        <v>0</v>
      </c>
      <c r="T122" s="5">
        <f>SUM(C122:O122)</f>
        <v>0</v>
      </c>
    </row>
    <row r="123" spans="2:20" x14ac:dyDescent="0.3">
      <c r="B123" s="3">
        <v>2030</v>
      </c>
      <c r="C123" s="51">
        <f>Inputs_Summary!E$11*C47/1000000</f>
        <v>0</v>
      </c>
      <c r="D123" s="51">
        <f>Inputs_Summary!F$11*D47/1000000</f>
        <v>0</v>
      </c>
      <c r="E123" s="51">
        <f>Inputs_Summary!G$11*E47/1000000</f>
        <v>2.2916886036646416</v>
      </c>
      <c r="F123" s="51">
        <f>Inputs_Summary!H$11*F47/1000000</f>
        <v>2.1305423116407138</v>
      </c>
      <c r="G123" s="51">
        <f>Inputs_Summary!I$11*G47/1000000</f>
        <v>0</v>
      </c>
      <c r="H123" s="51">
        <f>Inputs_Summary!J$11*H47/1000000</f>
        <v>0</v>
      </c>
      <c r="I123" s="51">
        <f>Inputs_Summary!K$11*I47/1000000</f>
        <v>0</v>
      </c>
      <c r="J123" s="51">
        <f>Inputs_Summary!L$11*J47/1000000</f>
        <v>0</v>
      </c>
      <c r="K123" s="51">
        <f>Inputs_Summary!M$11*K47/1000000</f>
        <v>0</v>
      </c>
      <c r="L123" s="51">
        <f>Inputs_Summary!N$11*L47/1000000</f>
        <v>0</v>
      </c>
      <c r="M123" s="51">
        <f>Inputs_Summary!O$11*M47/1000000</f>
        <v>0</v>
      </c>
      <c r="N123" s="51">
        <f>Inputs_Summary!P$11*N47/1000000</f>
        <v>0</v>
      </c>
      <c r="O123" s="51">
        <f>Inputs_Summary!R$11*O47/1000000</f>
        <v>0</v>
      </c>
      <c r="P123" s="97"/>
      <c r="Q123" s="39">
        <f>G123+N123</f>
        <v>0</v>
      </c>
      <c r="R123" s="5">
        <f>SUM(K123:L123)</f>
        <v>0</v>
      </c>
      <c r="T123" s="5">
        <f t="shared" ref="T123:T125" si="53">SUM(C123:O123)</f>
        <v>4.4222309153053558</v>
      </c>
    </row>
    <row r="124" spans="2:20" x14ac:dyDescent="0.3">
      <c r="B124" s="3">
        <v>2040</v>
      </c>
      <c r="C124" s="51">
        <f>Inputs_Summary!E$11*C48/1000000</f>
        <v>0</v>
      </c>
      <c r="D124" s="51">
        <f>Inputs_Summary!F$11*D48/1000000</f>
        <v>0</v>
      </c>
      <c r="E124" s="51">
        <f>Inputs_Summary!G$11*E48/1000000</f>
        <v>9.1808580249208962</v>
      </c>
      <c r="F124" s="51">
        <f>Inputs_Summary!H$11*F48/1000000</f>
        <v>5.6007073214258458</v>
      </c>
      <c r="G124" s="51">
        <f>Inputs_Summary!I$11*G48/1000000</f>
        <v>0</v>
      </c>
      <c r="H124" s="51">
        <f>Inputs_Summary!J$11*H48/1000000</f>
        <v>0</v>
      </c>
      <c r="I124" s="51">
        <f>Inputs_Summary!K$11*I48/1000000</f>
        <v>0</v>
      </c>
      <c r="J124" s="51">
        <f>Inputs_Summary!L$11*J48/1000000</f>
        <v>0</v>
      </c>
      <c r="K124" s="51">
        <f>Inputs_Summary!M$11*K48/1000000</f>
        <v>0</v>
      </c>
      <c r="L124" s="51">
        <f>Inputs_Summary!N$11*L48/1000000</f>
        <v>0</v>
      </c>
      <c r="M124" s="51">
        <f>Inputs_Summary!O$11*M48/1000000</f>
        <v>0</v>
      </c>
      <c r="N124" s="51">
        <f>Inputs_Summary!P$11*N48/1000000</f>
        <v>0</v>
      </c>
      <c r="O124" s="51">
        <f>Inputs_Summary!R$11*O48/1000000</f>
        <v>0</v>
      </c>
      <c r="P124" s="97"/>
      <c r="Q124" s="39">
        <f>G124+N124</f>
        <v>0</v>
      </c>
      <c r="R124" s="5">
        <f>SUM(K124:L124)</f>
        <v>0</v>
      </c>
      <c r="T124" s="5">
        <f t="shared" si="53"/>
        <v>14.781565346346742</v>
      </c>
    </row>
    <row r="125" spans="2:20" x14ac:dyDescent="0.3">
      <c r="B125" s="3">
        <v>2050</v>
      </c>
      <c r="C125" s="51">
        <f>Inputs_Summary!E$11*C49/1000000</f>
        <v>0</v>
      </c>
      <c r="D125" s="51">
        <f>Inputs_Summary!F$11*D49/1000000</f>
        <v>0</v>
      </c>
      <c r="E125" s="51">
        <f>Inputs_Summary!G$11*E49/1000000</f>
        <v>19.389423964643306</v>
      </c>
      <c r="F125" s="51">
        <f>Inputs_Summary!H$11*F49/1000000</f>
        <v>7.1926697757420257</v>
      </c>
      <c r="G125" s="51">
        <f>Inputs_Summary!I$11*G49/1000000</f>
        <v>0</v>
      </c>
      <c r="H125" s="51">
        <f>Inputs_Summary!J$11*H49/1000000</f>
        <v>0</v>
      </c>
      <c r="I125" s="51">
        <f>Inputs_Summary!K$11*I49/1000000</f>
        <v>0</v>
      </c>
      <c r="J125" s="51">
        <f>Inputs_Summary!L$11*J49/1000000</f>
        <v>0</v>
      </c>
      <c r="K125" s="51">
        <f>Inputs_Summary!M$11*K49/1000000</f>
        <v>0</v>
      </c>
      <c r="L125" s="51">
        <f>Inputs_Summary!N$11*L49/1000000</f>
        <v>0</v>
      </c>
      <c r="M125" s="51">
        <f>Inputs_Summary!O$11*M49/1000000</f>
        <v>0</v>
      </c>
      <c r="N125" s="51">
        <f>Inputs_Summary!P$11*N49/1000000</f>
        <v>0</v>
      </c>
      <c r="O125" s="51">
        <f>Inputs_Summary!R$11*O49/1000000</f>
        <v>0</v>
      </c>
      <c r="P125" s="97"/>
      <c r="Q125" s="39">
        <f>G125+N125</f>
        <v>0</v>
      </c>
      <c r="R125" s="5">
        <f>SUM(K125:L125)</f>
        <v>0</v>
      </c>
      <c r="T125" s="5">
        <f t="shared" si="53"/>
        <v>26.582093740385332</v>
      </c>
    </row>
    <row r="126" spans="2:20" x14ac:dyDescent="0.3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28"/>
    </row>
    <row r="127" spans="2:20" ht="28.8" x14ac:dyDescent="0.3">
      <c r="B127" s="43" t="s">
        <v>24</v>
      </c>
      <c r="C127" s="43" t="s">
        <v>0</v>
      </c>
      <c r="D127" s="43" t="s">
        <v>1</v>
      </c>
      <c r="E127" s="43" t="s">
        <v>28</v>
      </c>
      <c r="F127" s="2" t="s">
        <v>29</v>
      </c>
      <c r="G127" s="2" t="s">
        <v>6</v>
      </c>
      <c r="H127" s="43" t="s">
        <v>2</v>
      </c>
      <c r="I127" s="43" t="s">
        <v>3</v>
      </c>
      <c r="J127" s="43" t="s">
        <v>4</v>
      </c>
      <c r="K127" s="43" t="s">
        <v>9</v>
      </c>
      <c r="L127" s="43" t="s">
        <v>8</v>
      </c>
      <c r="M127" s="43" t="s">
        <v>25</v>
      </c>
      <c r="N127" s="43" t="s">
        <v>7</v>
      </c>
      <c r="O127" s="43" t="s">
        <v>89</v>
      </c>
      <c r="P127" s="25"/>
      <c r="Q127" s="43" t="s">
        <v>5</v>
      </c>
      <c r="R127" s="43" t="s">
        <v>91</v>
      </c>
      <c r="T127" s="43" t="s">
        <v>10</v>
      </c>
    </row>
    <row r="128" spans="2:20" x14ac:dyDescent="0.3">
      <c r="B128" s="3">
        <v>2016</v>
      </c>
      <c r="C128" s="51">
        <f t="shared" ref="C128:O131" si="54">C110+C116+C122</f>
        <v>210.12155916232655</v>
      </c>
      <c r="D128" s="51">
        <f t="shared" si="54"/>
        <v>0</v>
      </c>
      <c r="E128" s="51">
        <f t="shared" si="54"/>
        <v>0.27748016944768411</v>
      </c>
      <c r="F128" s="51">
        <f t="shared" si="54"/>
        <v>1.1619560473070238</v>
      </c>
      <c r="G128" s="51">
        <f t="shared" si="54"/>
        <v>0</v>
      </c>
      <c r="H128" s="51">
        <f t="shared" si="54"/>
        <v>0</v>
      </c>
      <c r="I128" s="51">
        <f t="shared" si="54"/>
        <v>0</v>
      </c>
      <c r="J128" s="51">
        <f t="shared" si="54"/>
        <v>0</v>
      </c>
      <c r="K128" s="51">
        <f t="shared" si="54"/>
        <v>0</v>
      </c>
      <c r="L128" s="51">
        <f t="shared" si="54"/>
        <v>0</v>
      </c>
      <c r="M128" s="51">
        <f t="shared" si="54"/>
        <v>0</v>
      </c>
      <c r="N128" s="51">
        <f t="shared" si="54"/>
        <v>5.9887859519957903E-4</v>
      </c>
      <c r="O128" s="51">
        <f t="shared" si="54"/>
        <v>0</v>
      </c>
      <c r="P128" s="97"/>
      <c r="Q128" s="39">
        <f>G128+N128</f>
        <v>5.9887859519957903E-4</v>
      </c>
      <c r="R128" s="5">
        <f>SUM(K128:L128)</f>
        <v>0</v>
      </c>
      <c r="T128" s="5">
        <f>SUM(C128:O128)</f>
        <v>211.56159425767646</v>
      </c>
    </row>
    <row r="129" spans="2:20" x14ac:dyDescent="0.3">
      <c r="B129" s="3">
        <v>2030</v>
      </c>
      <c r="C129" s="51">
        <f t="shared" ref="C129:N129" si="55">C111+C117+C123</f>
        <v>198.76492447434578</v>
      </c>
      <c r="D129" s="51">
        <f t="shared" si="55"/>
        <v>0</v>
      </c>
      <c r="E129" s="51">
        <f t="shared" si="55"/>
        <v>3.1051220136227053</v>
      </c>
      <c r="F129" s="51">
        <f t="shared" si="55"/>
        <v>2.2218763596253117</v>
      </c>
      <c r="G129" s="51">
        <f t="shared" si="55"/>
        <v>0</v>
      </c>
      <c r="H129" s="51">
        <f t="shared" si="55"/>
        <v>0</v>
      </c>
      <c r="I129" s="51">
        <f t="shared" si="55"/>
        <v>0</v>
      </c>
      <c r="J129" s="51">
        <f t="shared" si="55"/>
        <v>0</v>
      </c>
      <c r="K129" s="51">
        <f t="shared" si="55"/>
        <v>0</v>
      </c>
      <c r="L129" s="51">
        <f t="shared" si="55"/>
        <v>0</v>
      </c>
      <c r="M129" s="51">
        <f t="shared" si="55"/>
        <v>0</v>
      </c>
      <c r="N129" s="51">
        <f t="shared" si="55"/>
        <v>1.1558534706529327E-3</v>
      </c>
      <c r="O129" s="51">
        <f t="shared" si="54"/>
        <v>0</v>
      </c>
      <c r="P129" s="97"/>
      <c r="Q129" s="39">
        <f>G129+N129</f>
        <v>1.1558534706529327E-3</v>
      </c>
      <c r="R129" s="5">
        <f>SUM(K129:L129)</f>
        <v>0</v>
      </c>
      <c r="T129" s="5">
        <f t="shared" ref="T129:T131" si="56">SUM(C129:O129)</f>
        <v>204.09307870106446</v>
      </c>
    </row>
    <row r="130" spans="2:20" x14ac:dyDescent="0.3">
      <c r="B130" s="3">
        <v>2040</v>
      </c>
      <c r="C130" s="51">
        <f t="shared" ref="C130:N130" si="57">C112+C118+C124</f>
        <v>97.449124778540863</v>
      </c>
      <c r="D130" s="51">
        <f t="shared" si="57"/>
        <v>0</v>
      </c>
      <c r="E130" s="51">
        <f t="shared" si="57"/>
        <v>10.003855053007944</v>
      </c>
      <c r="F130" s="51">
        <f t="shared" si="57"/>
        <v>5.6462462138087854</v>
      </c>
      <c r="G130" s="51">
        <f t="shared" si="57"/>
        <v>0</v>
      </c>
      <c r="H130" s="51">
        <f t="shared" si="57"/>
        <v>0</v>
      </c>
      <c r="I130" s="51">
        <f t="shared" si="57"/>
        <v>0</v>
      </c>
      <c r="J130" s="51">
        <f t="shared" si="57"/>
        <v>0</v>
      </c>
      <c r="K130" s="51">
        <f t="shared" si="57"/>
        <v>0</v>
      </c>
      <c r="L130" s="51">
        <f t="shared" si="57"/>
        <v>0</v>
      </c>
      <c r="M130" s="51">
        <f t="shared" si="57"/>
        <v>0</v>
      </c>
      <c r="N130" s="51">
        <f t="shared" si="57"/>
        <v>1.2352321622858861E-3</v>
      </c>
      <c r="O130" s="51">
        <f t="shared" si="54"/>
        <v>0</v>
      </c>
      <c r="P130" s="97"/>
      <c r="Q130" s="39">
        <f>G130+N130</f>
        <v>1.2352321622858861E-3</v>
      </c>
      <c r="R130" s="5">
        <f>SUM(K130:L130)</f>
        <v>0</v>
      </c>
      <c r="T130" s="5">
        <f t="shared" si="56"/>
        <v>113.10046127751987</v>
      </c>
    </row>
    <row r="131" spans="2:20" x14ac:dyDescent="0.3">
      <c r="B131" s="3">
        <v>2050</v>
      </c>
      <c r="C131" s="51">
        <f t="shared" ref="C131:N131" si="58">C113+C119+C125</f>
        <v>58.227412726097057</v>
      </c>
      <c r="D131" s="51">
        <f t="shared" si="58"/>
        <v>0</v>
      </c>
      <c r="E131" s="51">
        <f t="shared" si="58"/>
        <v>20.213719119899455</v>
      </c>
      <c r="F131" s="51">
        <f t="shared" si="58"/>
        <v>7.1926697757420257</v>
      </c>
      <c r="G131" s="51">
        <f t="shared" si="58"/>
        <v>0</v>
      </c>
      <c r="H131" s="51">
        <f t="shared" si="58"/>
        <v>0</v>
      </c>
      <c r="I131" s="51">
        <f t="shared" si="58"/>
        <v>0</v>
      </c>
      <c r="J131" s="51">
        <f t="shared" si="58"/>
        <v>0</v>
      </c>
      <c r="K131" s="51">
        <f t="shared" si="58"/>
        <v>0</v>
      </c>
      <c r="L131" s="51">
        <f t="shared" si="58"/>
        <v>0</v>
      </c>
      <c r="M131" s="51">
        <f t="shared" si="58"/>
        <v>0</v>
      </c>
      <c r="N131" s="51">
        <f t="shared" si="58"/>
        <v>1.1943578016055155E-3</v>
      </c>
      <c r="O131" s="51">
        <f t="shared" si="54"/>
        <v>0</v>
      </c>
      <c r="P131" s="97"/>
      <c r="Q131" s="39">
        <f>G131+N131</f>
        <v>1.1943578016055155E-3</v>
      </c>
      <c r="R131" s="5">
        <f>SUM(K131:L131)</f>
        <v>0</v>
      </c>
      <c r="T131" s="5">
        <f t="shared" si="56"/>
        <v>85.63499597954015</v>
      </c>
    </row>
    <row r="132" spans="2:20" x14ac:dyDescent="0.3"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28"/>
    </row>
    <row r="133" spans="2:20" x14ac:dyDescent="0.3">
      <c r="B133" s="3">
        <v>2016</v>
      </c>
      <c r="C133" s="23">
        <f t="shared" ref="C133:O136" si="59">IFERROR(C128/$T128,0)</f>
        <v>0.99319330571126252</v>
      </c>
      <c r="D133" s="23">
        <f t="shared" si="59"/>
        <v>0</v>
      </c>
      <c r="E133" s="23">
        <f t="shared" si="59"/>
        <v>1.3115810098770599E-3</v>
      </c>
      <c r="F133" s="23">
        <f t="shared" si="59"/>
        <v>5.4922825259663714E-3</v>
      </c>
      <c r="G133" s="23">
        <f t="shared" si="59"/>
        <v>0</v>
      </c>
      <c r="H133" s="23">
        <f t="shared" si="59"/>
        <v>0</v>
      </c>
      <c r="I133" s="23">
        <f t="shared" si="59"/>
        <v>0</v>
      </c>
      <c r="J133" s="23">
        <f t="shared" si="59"/>
        <v>0</v>
      </c>
      <c r="K133" s="23">
        <f t="shared" si="59"/>
        <v>0</v>
      </c>
      <c r="L133" s="23">
        <f t="shared" si="59"/>
        <v>0</v>
      </c>
      <c r="M133" s="23">
        <f t="shared" si="59"/>
        <v>0</v>
      </c>
      <c r="N133" s="23">
        <f t="shared" si="59"/>
        <v>2.8307528939782927E-6</v>
      </c>
      <c r="O133" s="23">
        <f t="shared" si="59"/>
        <v>0</v>
      </c>
      <c r="P133" s="26"/>
      <c r="Q133" s="7">
        <f t="shared" ref="Q133:R136" si="60">Q128/$T128</f>
        <v>2.8307528939782927E-6</v>
      </c>
      <c r="R133" s="7">
        <f t="shared" si="60"/>
        <v>0</v>
      </c>
      <c r="T133" s="8">
        <f>SUM(C133:O133)</f>
        <v>0.99999999999999989</v>
      </c>
    </row>
    <row r="134" spans="2:20" x14ac:dyDescent="0.3">
      <c r="B134" s="3">
        <v>2030</v>
      </c>
      <c r="C134" s="23">
        <f t="shared" si="59"/>
        <v>0.97389350848823819</v>
      </c>
      <c r="D134" s="23">
        <f t="shared" si="59"/>
        <v>0</v>
      </c>
      <c r="E134" s="23">
        <f t="shared" si="59"/>
        <v>1.5214244566180432E-2</v>
      </c>
      <c r="F134" s="23">
        <f t="shared" si="59"/>
        <v>1.0886583581208545E-2</v>
      </c>
      <c r="G134" s="23">
        <f t="shared" si="59"/>
        <v>0</v>
      </c>
      <c r="H134" s="23">
        <f t="shared" si="59"/>
        <v>0</v>
      </c>
      <c r="I134" s="23">
        <f t="shared" si="59"/>
        <v>0</v>
      </c>
      <c r="J134" s="23">
        <f t="shared" si="59"/>
        <v>0</v>
      </c>
      <c r="K134" s="23">
        <f t="shared" si="59"/>
        <v>0</v>
      </c>
      <c r="L134" s="23">
        <f t="shared" si="59"/>
        <v>0</v>
      </c>
      <c r="M134" s="23">
        <f t="shared" si="59"/>
        <v>0</v>
      </c>
      <c r="N134" s="23">
        <f t="shared" si="59"/>
        <v>5.6633643728110626E-6</v>
      </c>
      <c r="O134" s="23">
        <f t="shared" si="59"/>
        <v>0</v>
      </c>
      <c r="P134" s="26"/>
      <c r="Q134" s="7">
        <f t="shared" si="60"/>
        <v>5.6633643728110626E-6</v>
      </c>
      <c r="R134" s="7">
        <f t="shared" si="60"/>
        <v>0</v>
      </c>
      <c r="T134" s="8">
        <f t="shared" ref="T134:T136" si="61">SUM(C134:O134)</f>
        <v>1</v>
      </c>
    </row>
    <row r="135" spans="2:20" x14ac:dyDescent="0.3">
      <c r="B135" s="3">
        <v>2040</v>
      </c>
      <c r="C135" s="23">
        <f t="shared" si="59"/>
        <v>0.86161562630081068</v>
      </c>
      <c r="D135" s="23">
        <f t="shared" si="59"/>
        <v>0</v>
      </c>
      <c r="E135" s="23">
        <f t="shared" si="59"/>
        <v>8.8451054398982681E-2</v>
      </c>
      <c r="F135" s="23">
        <f t="shared" si="59"/>
        <v>4.9922397751803398E-2</v>
      </c>
      <c r="G135" s="23">
        <f t="shared" si="59"/>
        <v>0</v>
      </c>
      <c r="H135" s="23">
        <f t="shared" si="59"/>
        <v>0</v>
      </c>
      <c r="I135" s="23">
        <f t="shared" si="59"/>
        <v>0</v>
      </c>
      <c r="J135" s="23">
        <f t="shared" si="59"/>
        <v>0</v>
      </c>
      <c r="K135" s="23">
        <f t="shared" si="59"/>
        <v>0</v>
      </c>
      <c r="L135" s="23">
        <f t="shared" si="59"/>
        <v>0</v>
      </c>
      <c r="M135" s="23">
        <f t="shared" si="59"/>
        <v>0</v>
      </c>
      <c r="N135" s="23">
        <f t="shared" si="59"/>
        <v>1.0921548403369809E-5</v>
      </c>
      <c r="O135" s="23">
        <f t="shared" si="59"/>
        <v>0</v>
      </c>
      <c r="P135" s="26"/>
      <c r="Q135" s="7">
        <f t="shared" si="60"/>
        <v>1.0921548403369809E-5</v>
      </c>
      <c r="R135" s="7">
        <f t="shared" si="60"/>
        <v>0</v>
      </c>
      <c r="T135" s="8">
        <f t="shared" si="61"/>
        <v>1.0000000000000002</v>
      </c>
    </row>
    <row r="136" spans="2:20" x14ac:dyDescent="0.3">
      <c r="B136" s="3">
        <v>2050</v>
      </c>
      <c r="C136" s="23">
        <f t="shared" si="59"/>
        <v>0.67994879967074096</v>
      </c>
      <c r="D136" s="23">
        <f t="shared" si="59"/>
        <v>0</v>
      </c>
      <c r="E136" s="23">
        <f t="shared" si="59"/>
        <v>0.23604507583241904</v>
      </c>
      <c r="F136" s="23">
        <f t="shared" si="59"/>
        <v>8.3992177420788267E-2</v>
      </c>
      <c r="G136" s="23">
        <f t="shared" si="59"/>
        <v>0</v>
      </c>
      <c r="H136" s="23">
        <f t="shared" si="59"/>
        <v>0</v>
      </c>
      <c r="I136" s="23">
        <f t="shared" si="59"/>
        <v>0</v>
      </c>
      <c r="J136" s="23">
        <f t="shared" si="59"/>
        <v>0</v>
      </c>
      <c r="K136" s="23">
        <f t="shared" si="59"/>
        <v>0</v>
      </c>
      <c r="L136" s="23">
        <f t="shared" si="59"/>
        <v>0</v>
      </c>
      <c r="M136" s="23">
        <f t="shared" si="59"/>
        <v>0</v>
      </c>
      <c r="N136" s="23">
        <f t="shared" si="59"/>
        <v>1.3947076051604774E-5</v>
      </c>
      <c r="O136" s="23">
        <f t="shared" si="59"/>
        <v>0</v>
      </c>
      <c r="P136" s="26"/>
      <c r="Q136" s="7">
        <f t="shared" si="60"/>
        <v>1.3947076051604774E-5</v>
      </c>
      <c r="R136" s="7">
        <f t="shared" si="60"/>
        <v>0</v>
      </c>
      <c r="T136" s="8">
        <f t="shared" si="61"/>
        <v>0.99999999999999989</v>
      </c>
    </row>
    <row r="137" spans="2:20" s="11" customFormat="1" x14ac:dyDescent="0.3">
      <c r="C137" s="12"/>
      <c r="D137" s="12"/>
      <c r="E137" s="14"/>
      <c r="F137" s="14"/>
      <c r="G137" s="14"/>
      <c r="H137" s="16"/>
      <c r="I137" s="14"/>
      <c r="J137" s="14"/>
      <c r="K137" s="16"/>
      <c r="L137" s="14"/>
      <c r="M137" s="16"/>
      <c r="N137" s="20"/>
      <c r="O137" s="20"/>
      <c r="P137" s="20"/>
    </row>
    <row r="138" spans="2:20" s="9" customFormat="1" ht="21" x14ac:dyDescent="0.4">
      <c r="B138" s="10" t="s">
        <v>44</v>
      </c>
    </row>
    <row r="139" spans="2:20" s="32" customFormat="1" ht="21" x14ac:dyDescent="0.4">
      <c r="B139" s="31"/>
      <c r="P139" s="58"/>
    </row>
    <row r="140" spans="2:20" ht="28.8" x14ac:dyDescent="0.3">
      <c r="B140" s="43" t="s">
        <v>76</v>
      </c>
      <c r="C140" s="43" t="s">
        <v>0</v>
      </c>
      <c r="D140" s="43" t="s">
        <v>1</v>
      </c>
      <c r="E140" s="43" t="s">
        <v>28</v>
      </c>
      <c r="F140" s="2" t="s">
        <v>29</v>
      </c>
      <c r="G140" s="2" t="s">
        <v>6</v>
      </c>
      <c r="H140" s="43" t="s">
        <v>2</v>
      </c>
      <c r="I140" s="43" t="s">
        <v>3</v>
      </c>
      <c r="J140" s="43" t="s">
        <v>4</v>
      </c>
      <c r="K140" s="43" t="s">
        <v>9</v>
      </c>
      <c r="L140" s="43" t="s">
        <v>8</v>
      </c>
      <c r="M140" s="43" t="s">
        <v>25</v>
      </c>
      <c r="N140" s="43" t="s">
        <v>7</v>
      </c>
      <c r="O140" s="43" t="s">
        <v>89</v>
      </c>
      <c r="P140" s="25"/>
      <c r="Q140" s="43" t="s">
        <v>5</v>
      </c>
      <c r="R140" s="43" t="s">
        <v>91</v>
      </c>
      <c r="T140" s="43" t="s">
        <v>10</v>
      </c>
    </row>
    <row r="141" spans="2:20" x14ac:dyDescent="0.3">
      <c r="B141" s="3">
        <v>2016</v>
      </c>
      <c r="C141" s="51">
        <f>Inputs_Summary!E$16*C34/1000000</f>
        <v>280.52467826386066</v>
      </c>
      <c r="D141" s="51">
        <f>Inputs_Summary!F$16*D34/1000000</f>
        <v>0</v>
      </c>
      <c r="E141" s="51">
        <f>Inputs_Summary!G$16*E34/1000000</f>
        <v>1.4970319768567157E-2</v>
      </c>
      <c r="F141" s="51">
        <f>Inputs_Summary!H$16*F34/1000000</f>
        <v>0</v>
      </c>
      <c r="G141" s="51">
        <f>Inputs_Summary!I$16*G34/1000000</f>
        <v>0</v>
      </c>
      <c r="H141" s="51">
        <f>Inputs_Summary!J$16*H34/1000000</f>
        <v>0</v>
      </c>
      <c r="I141" s="51">
        <f>Inputs_Summary!K$16*I34/1000000</f>
        <v>6.6213594050410038E-2</v>
      </c>
      <c r="J141" s="51">
        <f>Inputs_Summary!L$16*J34/1000000</f>
        <v>0</v>
      </c>
      <c r="K141" s="51">
        <f>Inputs_Summary!M$16*K34/1000000</f>
        <v>0</v>
      </c>
      <c r="L141" s="51">
        <f>Inputs_Summary!N$16*L34/1000000</f>
        <v>0.35950778379036846</v>
      </c>
      <c r="M141" s="51">
        <f>Inputs_Summary!O$16*M34/1000000</f>
        <v>0</v>
      </c>
      <c r="N141" s="51">
        <f>Inputs_Summary!P$16*N34/1000000</f>
        <v>5.9887859519957903E-4</v>
      </c>
      <c r="O141" s="51">
        <f>Inputs_Summary!R$16*O34/1000000</f>
        <v>0</v>
      </c>
      <c r="P141" s="97"/>
      <c r="Q141" s="39">
        <f>G141+N141</f>
        <v>5.9887859519957903E-4</v>
      </c>
      <c r="R141" s="5">
        <f>SUM(K141:L141)</f>
        <v>0.35950778379036846</v>
      </c>
      <c r="T141" s="5">
        <f>SUM(C141:O141)</f>
        <v>280.96596884006522</v>
      </c>
    </row>
    <row r="142" spans="2:20" x14ac:dyDescent="0.3">
      <c r="B142" s="3">
        <v>2030</v>
      </c>
      <c r="C142" s="51">
        <f>Inputs_Summary!E$16*C35/1000000</f>
        <v>180.14080379178205</v>
      </c>
      <c r="D142" s="51">
        <f>Inputs_Summary!F$16*D35/1000000</f>
        <v>0</v>
      </c>
      <c r="E142" s="51">
        <f>Inputs_Summary!G$16*E35/1000000</f>
        <v>4.3885508221170738E-2</v>
      </c>
      <c r="F142" s="51">
        <f>Inputs_Summary!H$16*F35/1000000</f>
        <v>0</v>
      </c>
      <c r="G142" s="51">
        <f>Inputs_Summary!I$16*G35/1000000</f>
        <v>0</v>
      </c>
      <c r="H142" s="51">
        <f>Inputs_Summary!J$16*H35/1000000</f>
        <v>0</v>
      </c>
      <c r="I142" s="51">
        <f>Inputs_Summary!K$16*I35/1000000</f>
        <v>6.7237787491564865E-2</v>
      </c>
      <c r="J142" s="51">
        <f>Inputs_Summary!L$16*J35/1000000</f>
        <v>0</v>
      </c>
      <c r="K142" s="51">
        <f>Inputs_Summary!M$16*K35/1000000</f>
        <v>0</v>
      </c>
      <c r="L142" s="51">
        <f>Inputs_Summary!N$16*L35/1000000</f>
        <v>0.35610527602821723</v>
      </c>
      <c r="M142" s="51">
        <f>Inputs_Summary!O$16*M35/1000000</f>
        <v>0</v>
      </c>
      <c r="N142" s="51">
        <f>Inputs_Summary!P$16*N35/1000000</f>
        <v>5.4691901779394859E-4</v>
      </c>
      <c r="O142" s="51">
        <f>Inputs_Summary!R$16*O35/1000000</f>
        <v>0</v>
      </c>
      <c r="P142" s="97"/>
      <c r="Q142" s="39">
        <f>G142+N142</f>
        <v>5.4691901779394859E-4</v>
      </c>
      <c r="R142" s="5">
        <f>SUM(K142:L142)</f>
        <v>0.35610527602821723</v>
      </c>
      <c r="T142" s="5">
        <f t="shared" ref="T142:T144" si="62">SUM(C142:O142)</f>
        <v>180.6085792825408</v>
      </c>
    </row>
    <row r="143" spans="2:20" x14ac:dyDescent="0.3">
      <c r="B143" s="3">
        <v>2040</v>
      </c>
      <c r="C143" s="51">
        <f>Inputs_Summary!E$16*C36/1000000</f>
        <v>49.91880469457152</v>
      </c>
      <c r="D143" s="51">
        <f>Inputs_Summary!F$16*D36/1000000</f>
        <v>0</v>
      </c>
      <c r="E143" s="51">
        <f>Inputs_Summary!G$16*E36/1000000</f>
        <v>4.4401474539846185E-2</v>
      </c>
      <c r="F143" s="51">
        <f>Inputs_Summary!H$16*F36/1000000</f>
        <v>0</v>
      </c>
      <c r="G143" s="51">
        <f>Inputs_Summary!I$16*G36/1000000</f>
        <v>0</v>
      </c>
      <c r="H143" s="51">
        <f>Inputs_Summary!J$16*H36/1000000</f>
        <v>0</v>
      </c>
      <c r="I143" s="51">
        <f>Inputs_Summary!K$16*I36/1000000</f>
        <v>6.7485854720009383E-2</v>
      </c>
      <c r="J143" s="51">
        <f>Inputs_Summary!L$16*J36/1000000</f>
        <v>0</v>
      </c>
      <c r="K143" s="51">
        <f>Inputs_Summary!M$16*K36/1000000</f>
        <v>0</v>
      </c>
      <c r="L143" s="51">
        <f>Inputs_Summary!N$16*L36/1000000</f>
        <v>0.36634073597407002</v>
      </c>
      <c r="M143" s="51">
        <f>Inputs_Summary!O$16*M36/1000000</f>
        <v>0</v>
      </c>
      <c r="N143" s="51">
        <f>Inputs_Summary!P$16*N36/1000000</f>
        <v>5.8608251212198623E-4</v>
      </c>
      <c r="O143" s="51">
        <f>Inputs_Summary!R$16*O36/1000000</f>
        <v>0</v>
      </c>
      <c r="P143" s="97"/>
      <c r="Q143" s="39">
        <f>G143+N143</f>
        <v>5.8608251212198623E-4</v>
      </c>
      <c r="R143" s="5">
        <f>SUM(K143:L143)</f>
        <v>0.36634073597407002</v>
      </c>
      <c r="T143" s="5">
        <f t="shared" si="62"/>
        <v>50.39761884231757</v>
      </c>
    </row>
    <row r="144" spans="2:20" x14ac:dyDescent="0.3">
      <c r="B144" s="3">
        <v>2050</v>
      </c>
      <c r="C144" s="51">
        <f>Inputs_Summary!E$16*C37/1000000</f>
        <v>0</v>
      </c>
      <c r="D144" s="51">
        <f>Inputs_Summary!F$16*D37/1000000</f>
        <v>0</v>
      </c>
      <c r="E144" s="51">
        <f>Inputs_Summary!G$16*E37/1000000</f>
        <v>4.4471509738615182E-2</v>
      </c>
      <c r="F144" s="51">
        <f>Inputs_Summary!H$16*F37/1000000</f>
        <v>0</v>
      </c>
      <c r="G144" s="51">
        <f>Inputs_Summary!I$16*G37/1000000</f>
        <v>0</v>
      </c>
      <c r="H144" s="51">
        <f>Inputs_Summary!J$16*H37/1000000</f>
        <v>0</v>
      </c>
      <c r="I144" s="51">
        <f>Inputs_Summary!K$16*I37/1000000</f>
        <v>0</v>
      </c>
      <c r="J144" s="51">
        <f>Inputs_Summary!L$16*J37/1000000</f>
        <v>0</v>
      </c>
      <c r="K144" s="51">
        <f>Inputs_Summary!M$16*K37/1000000</f>
        <v>0</v>
      </c>
      <c r="L144" s="51">
        <f>Inputs_Summary!N$16*L37/1000000</f>
        <v>0.36939300811363224</v>
      </c>
      <c r="M144" s="51">
        <f>Inputs_Summary!O$16*M37/1000000</f>
        <v>0</v>
      </c>
      <c r="N144" s="51">
        <f>Inputs_Summary!P$16*N37/1000000</f>
        <v>5.7051549384803339E-4</v>
      </c>
      <c r="O144" s="51">
        <f>Inputs_Summary!R$16*O37/1000000</f>
        <v>0</v>
      </c>
      <c r="P144" s="97"/>
      <c r="Q144" s="39">
        <f>G144+N144</f>
        <v>5.7051549384803339E-4</v>
      </c>
      <c r="R144" s="5">
        <f>SUM(K144:L144)</f>
        <v>0.36939300811363224</v>
      </c>
      <c r="T144" s="5">
        <f t="shared" si="62"/>
        <v>0.41443503334609544</v>
      </c>
    </row>
    <row r="145" spans="2:20" x14ac:dyDescent="0.3"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28"/>
      <c r="Q145" s="5"/>
      <c r="R145" s="5"/>
      <c r="S145" s="5"/>
      <c r="T145" s="5"/>
    </row>
    <row r="146" spans="2:20" ht="28.8" x14ac:dyDescent="0.3">
      <c r="B146" s="43" t="s">
        <v>77</v>
      </c>
      <c r="C146" s="43" t="s">
        <v>0</v>
      </c>
      <c r="D146" s="43" t="s">
        <v>1</v>
      </c>
      <c r="E146" s="43" t="s">
        <v>28</v>
      </c>
      <c r="F146" s="2" t="s">
        <v>29</v>
      </c>
      <c r="G146" s="2" t="s">
        <v>6</v>
      </c>
      <c r="H146" s="43" t="s">
        <v>2</v>
      </c>
      <c r="I146" s="43" t="s">
        <v>3</v>
      </c>
      <c r="J146" s="43" t="s">
        <v>4</v>
      </c>
      <c r="K146" s="43" t="s">
        <v>9</v>
      </c>
      <c r="L146" s="43" t="s">
        <v>8</v>
      </c>
      <c r="M146" s="43" t="s">
        <v>25</v>
      </c>
      <c r="N146" s="43" t="s">
        <v>7</v>
      </c>
      <c r="O146" s="43" t="s">
        <v>89</v>
      </c>
      <c r="P146" s="25"/>
      <c r="Q146" s="43" t="s">
        <v>5</v>
      </c>
      <c r="R146" s="43" t="s">
        <v>91</v>
      </c>
      <c r="T146" s="43" t="s">
        <v>10</v>
      </c>
    </row>
    <row r="147" spans="2:20" x14ac:dyDescent="0.3">
      <c r="B147" s="3">
        <v>2016</v>
      </c>
      <c r="C147" s="51">
        <f>Inputs_Summary!E$19*C40/1000000</f>
        <v>0</v>
      </c>
      <c r="D147" s="51">
        <f>Inputs_Summary!F$19*D40/1000000</f>
        <v>0</v>
      </c>
      <c r="E147" s="51">
        <f>Inputs_Summary!G$19*E40/1000000</f>
        <v>0</v>
      </c>
      <c r="F147" s="51">
        <f>Inputs_Summary!H$19*F40/1000000</f>
        <v>0</v>
      </c>
      <c r="G147" s="51">
        <f>Inputs_Summary!I$19*G40/1000000</f>
        <v>0</v>
      </c>
      <c r="H147" s="51">
        <f>Inputs_Summary!J$19*H40/1000000</f>
        <v>0</v>
      </c>
      <c r="I147" s="51">
        <f>Inputs_Summary!K$19*I40/1000000</f>
        <v>0</v>
      </c>
      <c r="J147" s="51">
        <f>Inputs_Summary!L$19*J40/1000000</f>
        <v>0</v>
      </c>
      <c r="K147" s="51">
        <f>Inputs_Summary!M$19*K40/1000000</f>
        <v>0</v>
      </c>
      <c r="L147" s="51">
        <f>Inputs_Summary!N$19*L40/1000000</f>
        <v>0</v>
      </c>
      <c r="M147" s="51">
        <f>Inputs_Summary!O$19*M40/1000000</f>
        <v>0</v>
      </c>
      <c r="N147" s="51">
        <f>Inputs_Summary!P$19*N40/1000000</f>
        <v>0</v>
      </c>
      <c r="O147" s="51">
        <f>Inputs_Summary!R$19*O40/1000000</f>
        <v>0</v>
      </c>
      <c r="P147" s="97"/>
      <c r="Q147" s="39">
        <f>G147+N147</f>
        <v>0</v>
      </c>
      <c r="R147" s="5">
        <f>SUM(K147:L147)</f>
        <v>0</v>
      </c>
      <c r="T147" s="5">
        <f>SUM(C147:O147)</f>
        <v>0</v>
      </c>
    </row>
    <row r="148" spans="2:20" x14ac:dyDescent="0.3">
      <c r="B148" s="3">
        <v>2030</v>
      </c>
      <c r="C148" s="51">
        <f>Inputs_Summary!E$19*C41/1000000</f>
        <v>15.112529131110017</v>
      </c>
      <c r="D148" s="51">
        <f>Inputs_Summary!F$19*D41/1000000</f>
        <v>0</v>
      </c>
      <c r="E148" s="51">
        <f>Inputs_Summary!G$19*E41/1000000</f>
        <v>0</v>
      </c>
      <c r="F148" s="51">
        <f>Inputs_Summary!H$19*F41/1000000</f>
        <v>0</v>
      </c>
      <c r="G148" s="51">
        <f>Inputs_Summary!I$19*G41/1000000</f>
        <v>0</v>
      </c>
      <c r="H148" s="51">
        <f>Inputs_Summary!J$19*H41/1000000</f>
        <v>0</v>
      </c>
      <c r="I148" s="51">
        <f>Inputs_Summary!K$19*I41/1000000</f>
        <v>0.33667853299781153</v>
      </c>
      <c r="J148" s="51">
        <f>Inputs_Summary!L$19*J41/1000000</f>
        <v>0</v>
      </c>
      <c r="K148" s="51">
        <f>Inputs_Summary!M$19*K41/1000000</f>
        <v>0</v>
      </c>
      <c r="L148" s="51">
        <f>Inputs_Summary!N$19*L41/1000000</f>
        <v>0.23153789078557691</v>
      </c>
      <c r="M148" s="51">
        <f>Inputs_Summary!O$19*M41/1000000</f>
        <v>0</v>
      </c>
      <c r="N148" s="51">
        <f>Inputs_Summary!P$19*N41/1000000</f>
        <v>6.0893445285898414E-4</v>
      </c>
      <c r="O148" s="51">
        <f>Inputs_Summary!R$19*O41/1000000</f>
        <v>0</v>
      </c>
      <c r="P148" s="97"/>
      <c r="Q148" s="39">
        <f>G148+N148</f>
        <v>6.0893445285898414E-4</v>
      </c>
      <c r="R148" s="5">
        <f>SUM(K148:L148)</f>
        <v>0.23153789078557691</v>
      </c>
      <c r="T148" s="5">
        <f t="shared" ref="T148:T150" si="63">SUM(C148:O148)</f>
        <v>15.681354489346266</v>
      </c>
    </row>
    <row r="149" spans="2:20" x14ac:dyDescent="0.3">
      <c r="B149" s="3">
        <v>2040</v>
      </c>
      <c r="C149" s="51">
        <f>Inputs_Summary!E$19*C42/1000000</f>
        <v>14.218679088277177</v>
      </c>
      <c r="D149" s="51">
        <f>Inputs_Summary!F$19*D42/1000000</f>
        <v>0</v>
      </c>
      <c r="E149" s="51">
        <f>Inputs_Summary!G$19*E42/1000000</f>
        <v>0</v>
      </c>
      <c r="F149" s="51">
        <f>Inputs_Summary!H$19*F42/1000000</f>
        <v>0</v>
      </c>
      <c r="G149" s="51">
        <f>Inputs_Summary!I$19*G42/1000000</f>
        <v>0</v>
      </c>
      <c r="H149" s="51">
        <f>Inputs_Summary!J$19*H42/1000000</f>
        <v>0</v>
      </c>
      <c r="I149" s="51">
        <f>Inputs_Summary!K$19*I42/1000000</f>
        <v>0.3378309751162375</v>
      </c>
      <c r="J149" s="51">
        <f>Inputs_Summary!L$19*J42/1000000</f>
        <v>0</v>
      </c>
      <c r="K149" s="51">
        <f>Inputs_Summary!M$19*K42/1000000</f>
        <v>0</v>
      </c>
      <c r="L149" s="51">
        <f>Inputs_Summary!N$19*L42/1000000</f>
        <v>0.23252492264688948</v>
      </c>
      <c r="M149" s="51">
        <f>Inputs_Summary!O$19*M42/1000000</f>
        <v>0</v>
      </c>
      <c r="N149" s="51">
        <f>Inputs_Summary!P$19*N42/1000000</f>
        <v>6.4914965016389984E-4</v>
      </c>
      <c r="O149" s="51">
        <f>Inputs_Summary!R$19*O42/1000000</f>
        <v>0</v>
      </c>
      <c r="P149" s="97"/>
      <c r="Q149" s="39">
        <f>G149+N149</f>
        <v>6.4914965016389984E-4</v>
      </c>
      <c r="R149" s="5">
        <f>SUM(K149:L149)</f>
        <v>0.23252492264688948</v>
      </c>
      <c r="T149" s="5">
        <f t="shared" si="63"/>
        <v>14.789684135690468</v>
      </c>
    </row>
    <row r="150" spans="2:20" x14ac:dyDescent="0.3">
      <c r="B150" s="3">
        <v>2050</v>
      </c>
      <c r="C150" s="51">
        <f>Inputs_Summary!E$19*C43/1000000</f>
        <v>13.785194092235759</v>
      </c>
      <c r="D150" s="51">
        <f>Inputs_Summary!F$19*D43/1000000</f>
        <v>0</v>
      </c>
      <c r="E150" s="51">
        <f>Inputs_Summary!G$19*E43/1000000</f>
        <v>0</v>
      </c>
      <c r="F150" s="51">
        <f>Inputs_Summary!H$19*F43/1000000</f>
        <v>0</v>
      </c>
      <c r="G150" s="51">
        <f>Inputs_Summary!I$19*G43/1000000</f>
        <v>0</v>
      </c>
      <c r="H150" s="51">
        <f>Inputs_Summary!J$19*H43/1000000</f>
        <v>0</v>
      </c>
      <c r="I150" s="51">
        <f>Inputs_Summary!K$19*I43/1000000</f>
        <v>0</v>
      </c>
      <c r="J150" s="51">
        <f>Inputs_Summary!L$19*J43/1000000</f>
        <v>0</v>
      </c>
      <c r="K150" s="51">
        <f>Inputs_Summary!M$19*K43/1000000</f>
        <v>0</v>
      </c>
      <c r="L150" s="51">
        <f>Inputs_Summary!N$19*L43/1000000</f>
        <v>0</v>
      </c>
      <c r="M150" s="51">
        <f>Inputs_Summary!O$19*M43/1000000</f>
        <v>0</v>
      </c>
      <c r="N150" s="51">
        <f>Inputs_Summary!P$19*N43/1000000</f>
        <v>6.2384230775748215E-4</v>
      </c>
      <c r="O150" s="51">
        <f>Inputs_Summary!R$19*O43/1000000</f>
        <v>0</v>
      </c>
      <c r="P150" s="97"/>
      <c r="Q150" s="39">
        <f>G150+N150</f>
        <v>6.2384230775748215E-4</v>
      </c>
      <c r="R150" s="5">
        <f>SUM(K150:L150)</f>
        <v>0</v>
      </c>
      <c r="T150" s="5">
        <f t="shared" si="63"/>
        <v>13.785817934543516</v>
      </c>
    </row>
    <row r="151" spans="2:20" x14ac:dyDescent="0.3"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28"/>
      <c r="Q151" s="5"/>
      <c r="R151" s="5"/>
      <c r="S151" s="5"/>
      <c r="T151" s="5"/>
    </row>
    <row r="152" spans="2:20" ht="28.8" x14ac:dyDescent="0.3">
      <c r="B152" s="43" t="s">
        <v>78</v>
      </c>
      <c r="C152" s="43" t="s">
        <v>0</v>
      </c>
      <c r="D152" s="43" t="s">
        <v>1</v>
      </c>
      <c r="E152" s="43" t="s">
        <v>28</v>
      </c>
      <c r="F152" s="2" t="s">
        <v>29</v>
      </c>
      <c r="G152" s="2" t="s">
        <v>6</v>
      </c>
      <c r="H152" s="43" t="s">
        <v>2</v>
      </c>
      <c r="I152" s="43" t="s">
        <v>3</v>
      </c>
      <c r="J152" s="43" t="s">
        <v>4</v>
      </c>
      <c r="K152" s="43" t="s">
        <v>9</v>
      </c>
      <c r="L152" s="43" t="s">
        <v>8</v>
      </c>
      <c r="M152" s="43" t="s">
        <v>25</v>
      </c>
      <c r="N152" s="43" t="s">
        <v>7</v>
      </c>
      <c r="O152" s="43" t="s">
        <v>89</v>
      </c>
      <c r="P152" s="25"/>
      <c r="Q152" s="43" t="s">
        <v>5</v>
      </c>
      <c r="R152" s="43" t="s">
        <v>91</v>
      </c>
      <c r="T152" s="43" t="s">
        <v>10</v>
      </c>
    </row>
    <row r="153" spans="2:20" x14ac:dyDescent="0.3">
      <c r="B153" s="3">
        <v>2016</v>
      </c>
      <c r="C153" s="51">
        <f>Inputs_Summary!E$22*C46/1000000</f>
        <v>0</v>
      </c>
      <c r="D153" s="51">
        <f>Inputs_Summary!F$22*D46/1000000</f>
        <v>0</v>
      </c>
      <c r="E153" s="51">
        <f>Inputs_Summary!G$22*E46/1000000</f>
        <v>0</v>
      </c>
      <c r="F153" s="51">
        <f>Inputs_Summary!H$22*F46/1000000</f>
        <v>0</v>
      </c>
      <c r="G153" s="51">
        <f>Inputs_Summary!I$22*G46/1000000</f>
        <v>0</v>
      </c>
      <c r="H153" s="51">
        <f>Inputs_Summary!J$22*H46/1000000</f>
        <v>0</v>
      </c>
      <c r="I153" s="51">
        <f>Inputs_Summary!K$22*I46/1000000</f>
        <v>0</v>
      </c>
      <c r="J153" s="51">
        <f>Inputs_Summary!L$22*J46/1000000</f>
        <v>0</v>
      </c>
      <c r="K153" s="51">
        <f>Inputs_Summary!M$22*K46/1000000</f>
        <v>0</v>
      </c>
      <c r="L153" s="51">
        <f>Inputs_Summary!N$22*L46/1000000</f>
        <v>0</v>
      </c>
      <c r="M153" s="51">
        <f>Inputs_Summary!O$22*M46/1000000</f>
        <v>0</v>
      </c>
      <c r="N153" s="51">
        <f>Inputs_Summary!P$22*N46/1000000</f>
        <v>0</v>
      </c>
      <c r="O153" s="51">
        <f>Inputs_Summary!R$22*O46/1000000</f>
        <v>0</v>
      </c>
      <c r="P153" s="97"/>
      <c r="Q153" s="39">
        <f>G153+N153</f>
        <v>0</v>
      </c>
      <c r="R153" s="5">
        <f>SUM(K153:L153)</f>
        <v>0</v>
      </c>
      <c r="T153" s="5">
        <f>SUM(C153:O153)</f>
        <v>0</v>
      </c>
    </row>
    <row r="154" spans="2:20" x14ac:dyDescent="0.3">
      <c r="B154" s="3">
        <v>2030</v>
      </c>
      <c r="C154" s="51">
        <f>Inputs_Summary!E$22*C47/1000000</f>
        <v>0</v>
      </c>
      <c r="D154" s="51">
        <f>Inputs_Summary!F$22*D47/1000000</f>
        <v>0</v>
      </c>
      <c r="E154" s="51">
        <f>Inputs_Summary!G$22*E47/1000000</f>
        <v>0.12363878570179813</v>
      </c>
      <c r="F154" s="51">
        <f>Inputs_Summary!H$22*F47/1000000</f>
        <v>0</v>
      </c>
      <c r="G154" s="51">
        <f>Inputs_Summary!I$22*G47/1000000</f>
        <v>0</v>
      </c>
      <c r="H154" s="51">
        <f>Inputs_Summary!J$22*H47/1000000</f>
        <v>0</v>
      </c>
      <c r="I154" s="51">
        <f>Inputs_Summary!K$22*I47/1000000</f>
        <v>0</v>
      </c>
      <c r="J154" s="51">
        <f>Inputs_Summary!L$22*J47/1000000</f>
        <v>0</v>
      </c>
      <c r="K154" s="51">
        <f>Inputs_Summary!M$22*K47/1000000</f>
        <v>0</v>
      </c>
      <c r="L154" s="51">
        <f>Inputs_Summary!N$22*L47/1000000</f>
        <v>0</v>
      </c>
      <c r="M154" s="51">
        <f>Inputs_Summary!O$22*M47/1000000</f>
        <v>0</v>
      </c>
      <c r="N154" s="51">
        <f>Inputs_Summary!P$22*N47/1000000</f>
        <v>0</v>
      </c>
      <c r="O154" s="51">
        <f>Inputs_Summary!R$22*O47/1000000</f>
        <v>0</v>
      </c>
      <c r="P154" s="97"/>
      <c r="Q154" s="39">
        <f>G154+N154</f>
        <v>0</v>
      </c>
      <c r="R154" s="5">
        <f>SUM(K154:L154)</f>
        <v>0</v>
      </c>
      <c r="T154" s="5">
        <f t="shared" ref="T154:T156" si="64">SUM(C154:O154)</f>
        <v>0.12363878570179813</v>
      </c>
    </row>
    <row r="155" spans="2:20" x14ac:dyDescent="0.3">
      <c r="B155" s="3">
        <v>2040</v>
      </c>
      <c r="C155" s="51">
        <f>Inputs_Summary!E$22*C48/1000000</f>
        <v>0</v>
      </c>
      <c r="D155" s="51">
        <f>Inputs_Summary!F$22*D48/1000000</f>
        <v>0</v>
      </c>
      <c r="E155" s="51">
        <f>Inputs_Summary!G$22*E48/1000000</f>
        <v>0.49531604603115464</v>
      </c>
      <c r="F155" s="51">
        <f>Inputs_Summary!H$22*F48/1000000</f>
        <v>0</v>
      </c>
      <c r="G155" s="51">
        <f>Inputs_Summary!I$22*G48/1000000</f>
        <v>0</v>
      </c>
      <c r="H155" s="51">
        <f>Inputs_Summary!J$22*H48/1000000</f>
        <v>0</v>
      </c>
      <c r="I155" s="51">
        <f>Inputs_Summary!K$22*I48/1000000</f>
        <v>0</v>
      </c>
      <c r="J155" s="51">
        <f>Inputs_Summary!L$22*J48/1000000</f>
        <v>0</v>
      </c>
      <c r="K155" s="51">
        <f>Inputs_Summary!M$22*K48/1000000</f>
        <v>0</v>
      </c>
      <c r="L155" s="51">
        <f>Inputs_Summary!N$22*L48/1000000</f>
        <v>0</v>
      </c>
      <c r="M155" s="51">
        <f>Inputs_Summary!O$22*M48/1000000</f>
        <v>0</v>
      </c>
      <c r="N155" s="51">
        <f>Inputs_Summary!P$22*N48/1000000</f>
        <v>0</v>
      </c>
      <c r="O155" s="51">
        <f>Inputs_Summary!R$22*O48/1000000</f>
        <v>0</v>
      </c>
      <c r="P155" s="97"/>
      <c r="Q155" s="39">
        <f>G155+N155</f>
        <v>0</v>
      </c>
      <c r="R155" s="5">
        <f>SUM(K155:L155)</f>
        <v>0</v>
      </c>
      <c r="T155" s="5">
        <f t="shared" si="64"/>
        <v>0.49531604603115464</v>
      </c>
    </row>
    <row r="156" spans="2:20" x14ac:dyDescent="0.3">
      <c r="B156" s="3">
        <v>2050</v>
      </c>
      <c r="C156" s="51">
        <f>Inputs_Summary!E$22*C49/1000000</f>
        <v>0</v>
      </c>
      <c r="D156" s="51">
        <f>Inputs_Summary!F$22*D49/1000000</f>
        <v>0</v>
      </c>
      <c r="E156" s="51">
        <f>Inputs_Summary!G$22*E49/1000000</f>
        <v>1.0460779141687668</v>
      </c>
      <c r="F156" s="51">
        <f>Inputs_Summary!H$22*F49/1000000</f>
        <v>0</v>
      </c>
      <c r="G156" s="51">
        <f>Inputs_Summary!I$22*G49/1000000</f>
        <v>0</v>
      </c>
      <c r="H156" s="51">
        <f>Inputs_Summary!J$22*H49/1000000</f>
        <v>0</v>
      </c>
      <c r="I156" s="51">
        <f>Inputs_Summary!K$22*I49/1000000</f>
        <v>0</v>
      </c>
      <c r="J156" s="51">
        <f>Inputs_Summary!L$22*J49/1000000</f>
        <v>0</v>
      </c>
      <c r="K156" s="51">
        <f>Inputs_Summary!M$22*K49/1000000</f>
        <v>0</v>
      </c>
      <c r="L156" s="51">
        <f>Inputs_Summary!N$22*L49/1000000</f>
        <v>0</v>
      </c>
      <c r="M156" s="51">
        <f>Inputs_Summary!O$22*M49/1000000</f>
        <v>0</v>
      </c>
      <c r="N156" s="51">
        <f>Inputs_Summary!P$22*N49/1000000</f>
        <v>0</v>
      </c>
      <c r="O156" s="51">
        <f>Inputs_Summary!R$22*O49/1000000</f>
        <v>0</v>
      </c>
      <c r="P156" s="97"/>
      <c r="Q156" s="39">
        <f>G156+N156</f>
        <v>0</v>
      </c>
      <c r="R156" s="5">
        <f>SUM(K156:L156)</f>
        <v>0</v>
      </c>
      <c r="T156" s="5">
        <f t="shared" si="64"/>
        <v>1.0460779141687668</v>
      </c>
    </row>
    <row r="157" spans="2:20" x14ac:dyDescent="0.3"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28"/>
    </row>
    <row r="158" spans="2:20" ht="28.8" x14ac:dyDescent="0.3">
      <c r="B158" s="43" t="s">
        <v>79</v>
      </c>
      <c r="C158" s="43" t="s">
        <v>0</v>
      </c>
      <c r="D158" s="43" t="s">
        <v>1</v>
      </c>
      <c r="E158" s="43" t="s">
        <v>28</v>
      </c>
      <c r="F158" s="2" t="s">
        <v>29</v>
      </c>
      <c r="G158" s="2" t="s">
        <v>6</v>
      </c>
      <c r="H158" s="43" t="s">
        <v>2</v>
      </c>
      <c r="I158" s="43" t="s">
        <v>3</v>
      </c>
      <c r="J158" s="43" t="s">
        <v>4</v>
      </c>
      <c r="K158" s="43" t="s">
        <v>9</v>
      </c>
      <c r="L158" s="43" t="s">
        <v>8</v>
      </c>
      <c r="M158" s="43" t="s">
        <v>25</v>
      </c>
      <c r="N158" s="43" t="s">
        <v>7</v>
      </c>
      <c r="O158" s="43" t="s">
        <v>89</v>
      </c>
      <c r="P158" s="25"/>
      <c r="Q158" s="43" t="s">
        <v>5</v>
      </c>
      <c r="R158" s="43" t="s">
        <v>91</v>
      </c>
      <c r="T158" s="43" t="s">
        <v>10</v>
      </c>
    </row>
    <row r="159" spans="2:20" x14ac:dyDescent="0.3">
      <c r="B159" s="3">
        <v>2016</v>
      </c>
      <c r="C159" s="51">
        <f t="shared" ref="C159:O162" si="65">C141+C147+C153</f>
        <v>280.52467826386066</v>
      </c>
      <c r="D159" s="51">
        <f t="shared" si="65"/>
        <v>0</v>
      </c>
      <c r="E159" s="51">
        <f t="shared" si="65"/>
        <v>1.4970319768567157E-2</v>
      </c>
      <c r="F159" s="51">
        <f t="shared" si="65"/>
        <v>0</v>
      </c>
      <c r="G159" s="51">
        <f t="shared" si="65"/>
        <v>0</v>
      </c>
      <c r="H159" s="51">
        <f t="shared" si="65"/>
        <v>0</v>
      </c>
      <c r="I159" s="51">
        <f t="shared" si="65"/>
        <v>6.6213594050410038E-2</v>
      </c>
      <c r="J159" s="51">
        <f t="shared" si="65"/>
        <v>0</v>
      </c>
      <c r="K159" s="51">
        <f t="shared" si="65"/>
        <v>0</v>
      </c>
      <c r="L159" s="51">
        <f t="shared" si="65"/>
        <v>0.35950778379036846</v>
      </c>
      <c r="M159" s="51">
        <f t="shared" si="65"/>
        <v>0</v>
      </c>
      <c r="N159" s="51">
        <f t="shared" si="65"/>
        <v>5.9887859519957903E-4</v>
      </c>
      <c r="O159" s="51">
        <f t="shared" si="65"/>
        <v>0</v>
      </c>
      <c r="P159" s="97"/>
      <c r="Q159" s="39">
        <f>G159+N159</f>
        <v>5.9887859519957903E-4</v>
      </c>
      <c r="R159" s="5">
        <f>SUM(K159:L159)</f>
        <v>0.35950778379036846</v>
      </c>
      <c r="T159" s="5">
        <f>SUM(C159:O159)</f>
        <v>280.96596884006522</v>
      </c>
    </row>
    <row r="160" spans="2:20" x14ac:dyDescent="0.3">
      <c r="B160" s="3">
        <v>2030</v>
      </c>
      <c r="C160" s="51">
        <f t="shared" ref="C160:N160" si="66">C142+C148+C154</f>
        <v>195.25333292289207</v>
      </c>
      <c r="D160" s="51">
        <f t="shared" si="66"/>
        <v>0</v>
      </c>
      <c r="E160" s="51">
        <f t="shared" si="66"/>
        <v>0.16752429392296886</v>
      </c>
      <c r="F160" s="51">
        <f t="shared" si="66"/>
        <v>0</v>
      </c>
      <c r="G160" s="51">
        <f t="shared" si="66"/>
        <v>0</v>
      </c>
      <c r="H160" s="51">
        <f t="shared" si="66"/>
        <v>0</v>
      </c>
      <c r="I160" s="51">
        <f t="shared" si="66"/>
        <v>0.40391632048937642</v>
      </c>
      <c r="J160" s="51">
        <f t="shared" si="66"/>
        <v>0</v>
      </c>
      <c r="K160" s="51">
        <f t="shared" si="66"/>
        <v>0</v>
      </c>
      <c r="L160" s="51">
        <f t="shared" si="66"/>
        <v>0.58764316681379414</v>
      </c>
      <c r="M160" s="51">
        <f t="shared" si="66"/>
        <v>0</v>
      </c>
      <c r="N160" s="51">
        <f t="shared" si="66"/>
        <v>1.1558534706529327E-3</v>
      </c>
      <c r="O160" s="51">
        <f t="shared" si="65"/>
        <v>0</v>
      </c>
      <c r="P160" s="97"/>
      <c r="Q160" s="39">
        <f>G160+N160</f>
        <v>1.1558534706529327E-3</v>
      </c>
      <c r="R160" s="5">
        <f>SUM(K160:L160)</f>
        <v>0.58764316681379414</v>
      </c>
      <c r="T160" s="5">
        <f t="shared" ref="T160:T162" si="67">SUM(C160:O160)</f>
        <v>196.41357255758888</v>
      </c>
    </row>
    <row r="161" spans="2:20" x14ac:dyDescent="0.3">
      <c r="B161" s="3">
        <v>2040</v>
      </c>
      <c r="C161" s="51">
        <f t="shared" ref="C161:N161" si="68">C143+C149+C155</f>
        <v>64.137483782848705</v>
      </c>
      <c r="D161" s="51">
        <f t="shared" si="68"/>
        <v>0</v>
      </c>
      <c r="E161" s="51">
        <f t="shared" si="68"/>
        <v>0.53971752057100086</v>
      </c>
      <c r="F161" s="51">
        <f t="shared" si="68"/>
        <v>0</v>
      </c>
      <c r="G161" s="51">
        <f t="shared" si="68"/>
        <v>0</v>
      </c>
      <c r="H161" s="51">
        <f t="shared" si="68"/>
        <v>0</v>
      </c>
      <c r="I161" s="51">
        <f t="shared" si="68"/>
        <v>0.40531682983624689</v>
      </c>
      <c r="J161" s="51">
        <f t="shared" si="68"/>
        <v>0</v>
      </c>
      <c r="K161" s="51">
        <f t="shared" si="68"/>
        <v>0</v>
      </c>
      <c r="L161" s="51">
        <f t="shared" si="68"/>
        <v>0.59886565862095953</v>
      </c>
      <c r="M161" s="51">
        <f t="shared" si="68"/>
        <v>0</v>
      </c>
      <c r="N161" s="51">
        <f t="shared" si="68"/>
        <v>1.2352321622858861E-3</v>
      </c>
      <c r="O161" s="51">
        <f t="shared" si="65"/>
        <v>0</v>
      </c>
      <c r="P161" s="97"/>
      <c r="Q161" s="39">
        <f>G161+N161</f>
        <v>1.2352321622858861E-3</v>
      </c>
      <c r="R161" s="5">
        <f>SUM(K161:L161)</f>
        <v>0.59886565862095953</v>
      </c>
      <c r="T161" s="5">
        <f t="shared" si="67"/>
        <v>65.682619024039212</v>
      </c>
    </row>
    <row r="162" spans="2:20" x14ac:dyDescent="0.3">
      <c r="B162" s="3">
        <v>2050</v>
      </c>
      <c r="C162" s="51">
        <f t="shared" ref="C162:N162" si="69">C144+C150+C156</f>
        <v>13.785194092235759</v>
      </c>
      <c r="D162" s="51">
        <f t="shared" si="69"/>
        <v>0</v>
      </c>
      <c r="E162" s="51">
        <f t="shared" si="69"/>
        <v>1.0905494239073821</v>
      </c>
      <c r="F162" s="51">
        <f t="shared" si="69"/>
        <v>0</v>
      </c>
      <c r="G162" s="51">
        <f t="shared" si="69"/>
        <v>0</v>
      </c>
      <c r="H162" s="51">
        <f t="shared" si="69"/>
        <v>0</v>
      </c>
      <c r="I162" s="51">
        <f t="shared" si="69"/>
        <v>0</v>
      </c>
      <c r="J162" s="51">
        <f t="shared" si="69"/>
        <v>0</v>
      </c>
      <c r="K162" s="51">
        <f t="shared" si="69"/>
        <v>0</v>
      </c>
      <c r="L162" s="51">
        <f t="shared" si="69"/>
        <v>0.36939300811363224</v>
      </c>
      <c r="M162" s="51">
        <f t="shared" si="69"/>
        <v>0</v>
      </c>
      <c r="N162" s="51">
        <f t="shared" si="69"/>
        <v>1.1943578016055155E-3</v>
      </c>
      <c r="O162" s="51">
        <f t="shared" si="65"/>
        <v>0</v>
      </c>
      <c r="P162" s="97"/>
      <c r="Q162" s="39">
        <f>G162+N162</f>
        <v>1.1943578016055155E-3</v>
      </c>
      <c r="R162" s="5">
        <f>SUM(K162:L162)</f>
        <v>0.36939300811363224</v>
      </c>
      <c r="T162" s="5">
        <f t="shared" si="67"/>
        <v>15.246330882058379</v>
      </c>
    </row>
    <row r="163" spans="2:20" x14ac:dyDescent="0.3"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28"/>
    </row>
    <row r="164" spans="2:20" x14ac:dyDescent="0.3">
      <c r="B164" s="3">
        <v>2016</v>
      </c>
      <c r="C164" s="23">
        <f t="shared" ref="C164:O167" si="70">IFERROR(C159/$T159,0)</f>
        <v>0.99842938068967435</v>
      </c>
      <c r="D164" s="23">
        <f t="shared" si="70"/>
        <v>0</v>
      </c>
      <c r="E164" s="23">
        <f t="shared" si="70"/>
        <v>5.3281612112564208E-5</v>
      </c>
      <c r="F164" s="23">
        <f t="shared" si="70"/>
        <v>0</v>
      </c>
      <c r="G164" s="23">
        <f t="shared" si="70"/>
        <v>0</v>
      </c>
      <c r="H164" s="23">
        <f t="shared" si="70"/>
        <v>0</v>
      </c>
      <c r="I164" s="23">
        <f t="shared" si="70"/>
        <v>2.3566410666660105E-4</v>
      </c>
      <c r="J164" s="23">
        <f t="shared" si="70"/>
        <v>0</v>
      </c>
      <c r="K164" s="23">
        <f t="shared" si="70"/>
        <v>0</v>
      </c>
      <c r="L164" s="23">
        <f t="shared" si="70"/>
        <v>1.2795420928539988E-3</v>
      </c>
      <c r="M164" s="23">
        <f t="shared" si="70"/>
        <v>0</v>
      </c>
      <c r="N164" s="23">
        <f t="shared" si="70"/>
        <v>2.1314986924287611E-6</v>
      </c>
      <c r="O164" s="23">
        <f t="shared" si="70"/>
        <v>0</v>
      </c>
      <c r="P164" s="26"/>
      <c r="Q164" s="7">
        <f t="shared" ref="Q164:R167" si="71">Q159/$T159</f>
        <v>2.1314986924287611E-6</v>
      </c>
      <c r="R164" s="7">
        <f t="shared" si="71"/>
        <v>1.2795420928539988E-3</v>
      </c>
      <c r="T164" s="8">
        <f>SUM(C164:O164)</f>
        <v>1</v>
      </c>
    </row>
    <row r="165" spans="2:20" x14ac:dyDescent="0.3">
      <c r="B165" s="3">
        <v>2030</v>
      </c>
      <c r="C165" s="23">
        <f t="shared" si="70"/>
        <v>0.99409287444045336</v>
      </c>
      <c r="D165" s="23">
        <f t="shared" si="70"/>
        <v>0</v>
      </c>
      <c r="E165" s="23">
        <f t="shared" si="70"/>
        <v>8.5291607775145166E-4</v>
      </c>
      <c r="F165" s="23">
        <f t="shared" si="70"/>
        <v>0</v>
      </c>
      <c r="G165" s="23">
        <f t="shared" si="70"/>
        <v>0</v>
      </c>
      <c r="H165" s="23">
        <f t="shared" si="70"/>
        <v>0</v>
      </c>
      <c r="I165" s="23">
        <f t="shared" si="70"/>
        <v>2.0564582947593772E-3</v>
      </c>
      <c r="J165" s="23">
        <f t="shared" si="70"/>
        <v>0</v>
      </c>
      <c r="K165" s="23">
        <f t="shared" si="70"/>
        <v>0</v>
      </c>
      <c r="L165" s="23">
        <f t="shared" si="70"/>
        <v>2.9918663927437903E-3</v>
      </c>
      <c r="M165" s="23">
        <f t="shared" si="70"/>
        <v>0</v>
      </c>
      <c r="N165" s="23">
        <f t="shared" si="70"/>
        <v>5.8847942919730457E-6</v>
      </c>
      <c r="O165" s="23">
        <f t="shared" si="70"/>
        <v>0</v>
      </c>
      <c r="P165" s="26"/>
      <c r="Q165" s="7">
        <f t="shared" si="71"/>
        <v>5.8847942919730457E-6</v>
      </c>
      <c r="R165" s="7">
        <f t="shared" si="71"/>
        <v>2.9918663927437903E-3</v>
      </c>
      <c r="T165" s="8">
        <f t="shared" ref="T165:T167" si="72">SUM(C165:O165)</f>
        <v>0.99999999999999989</v>
      </c>
    </row>
    <row r="166" spans="2:20" x14ac:dyDescent="0.3">
      <c r="B166" s="3">
        <v>2040</v>
      </c>
      <c r="C166" s="23">
        <f t="shared" si="70"/>
        <v>0.97647573644064034</v>
      </c>
      <c r="D166" s="23">
        <f t="shared" si="70"/>
        <v>0</v>
      </c>
      <c r="E166" s="23">
        <f t="shared" si="70"/>
        <v>8.2170523738322523E-3</v>
      </c>
      <c r="F166" s="23">
        <f t="shared" si="70"/>
        <v>0</v>
      </c>
      <c r="G166" s="23">
        <f t="shared" si="70"/>
        <v>0</v>
      </c>
      <c r="H166" s="23">
        <f t="shared" si="70"/>
        <v>0</v>
      </c>
      <c r="I166" s="23">
        <f t="shared" si="70"/>
        <v>6.1708384327352232E-3</v>
      </c>
      <c r="J166" s="23">
        <f t="shared" si="70"/>
        <v>0</v>
      </c>
      <c r="K166" s="23">
        <f t="shared" si="70"/>
        <v>0</v>
      </c>
      <c r="L166" s="23">
        <f t="shared" si="70"/>
        <v>9.1175666792729509E-3</v>
      </c>
      <c r="M166" s="23">
        <f t="shared" si="70"/>
        <v>0</v>
      </c>
      <c r="N166" s="23">
        <f t="shared" si="70"/>
        <v>1.88060735189899E-5</v>
      </c>
      <c r="O166" s="23">
        <f t="shared" si="70"/>
        <v>0</v>
      </c>
      <c r="P166" s="26"/>
      <c r="Q166" s="7">
        <f t="shared" si="71"/>
        <v>1.88060735189899E-5</v>
      </c>
      <c r="R166" s="7">
        <f t="shared" si="71"/>
        <v>9.1175666792729509E-3</v>
      </c>
      <c r="T166" s="8">
        <f t="shared" si="72"/>
        <v>0.99999999999999989</v>
      </c>
    </row>
    <row r="167" spans="2:20" x14ac:dyDescent="0.3">
      <c r="B167" s="3">
        <v>2050</v>
      </c>
      <c r="C167" s="23">
        <f t="shared" si="70"/>
        <v>0.90416469371381281</v>
      </c>
      <c r="D167" s="23">
        <f t="shared" si="70"/>
        <v>0</v>
      </c>
      <c r="E167" s="23">
        <f t="shared" si="70"/>
        <v>7.1528647275438714E-2</v>
      </c>
      <c r="F167" s="23">
        <f t="shared" si="70"/>
        <v>0</v>
      </c>
      <c r="G167" s="23">
        <f t="shared" si="70"/>
        <v>0</v>
      </c>
      <c r="H167" s="23">
        <f t="shared" si="70"/>
        <v>0</v>
      </c>
      <c r="I167" s="23">
        <f t="shared" si="70"/>
        <v>0</v>
      </c>
      <c r="J167" s="23">
        <f t="shared" si="70"/>
        <v>0</v>
      </c>
      <c r="K167" s="23">
        <f t="shared" si="70"/>
        <v>0</v>
      </c>
      <c r="L167" s="23">
        <f t="shared" si="70"/>
        <v>2.4228321618569068E-2</v>
      </c>
      <c r="M167" s="23">
        <f t="shared" si="70"/>
        <v>0</v>
      </c>
      <c r="N167" s="23">
        <f t="shared" si="70"/>
        <v>7.8337392179453184E-5</v>
      </c>
      <c r="O167" s="23">
        <f t="shared" si="70"/>
        <v>0</v>
      </c>
      <c r="P167" s="26"/>
      <c r="Q167" s="7">
        <f t="shared" si="71"/>
        <v>7.8337392179453184E-5</v>
      </c>
      <c r="R167" s="7">
        <f t="shared" si="71"/>
        <v>2.4228321618569068E-2</v>
      </c>
      <c r="T167" s="8">
        <f t="shared" si="72"/>
        <v>1</v>
      </c>
    </row>
    <row r="168" spans="2:20" s="11" customFormat="1" x14ac:dyDescent="0.3">
      <c r="C168" s="12"/>
      <c r="D168" s="12"/>
      <c r="E168" s="14"/>
      <c r="F168" s="14"/>
      <c r="G168" s="14"/>
      <c r="H168" s="16"/>
      <c r="I168" s="14"/>
      <c r="J168" s="14"/>
      <c r="K168" s="16"/>
      <c r="L168" s="14"/>
      <c r="M168" s="16"/>
      <c r="N168" s="20"/>
      <c r="O168" s="20"/>
      <c r="P168" s="20"/>
    </row>
    <row r="169" spans="2:20" s="9" customFormat="1" ht="21" x14ac:dyDescent="0.4">
      <c r="B169" s="10" t="s">
        <v>18</v>
      </c>
    </row>
    <row r="170" spans="2:20" s="32" customFormat="1" x14ac:dyDescent="0.3">
      <c r="B170" s="43"/>
      <c r="C170" s="40"/>
      <c r="D170" s="40"/>
      <c r="E170" s="40"/>
      <c r="P170" s="58"/>
    </row>
    <row r="171" spans="2:20" s="32" customFormat="1" ht="15.75" customHeight="1" x14ac:dyDescent="0.3">
      <c r="B171" s="33" t="s">
        <v>21</v>
      </c>
      <c r="C171" s="93">
        <f>Inputs_Summary!E27</f>
        <v>547</v>
      </c>
      <c r="D171" s="93">
        <f>Inputs_Summary!F27</f>
        <v>0</v>
      </c>
      <c r="E171" s="93">
        <f>Inputs_Summary!G27</f>
        <v>0</v>
      </c>
      <c r="F171" s="93">
        <f>Inputs_Summary!H27</f>
        <v>0</v>
      </c>
      <c r="G171" s="93">
        <f>Inputs_Summary!I27</f>
        <v>0</v>
      </c>
      <c r="H171" s="93">
        <f>Inputs_Summary!J27</f>
        <v>0</v>
      </c>
      <c r="I171" s="93">
        <f>Inputs_Summary!K27</f>
        <v>0</v>
      </c>
      <c r="J171" s="93">
        <f>Inputs_Summary!L27</f>
        <v>0</v>
      </c>
      <c r="K171" s="93">
        <f>Inputs_Summary!M27</f>
        <v>0</v>
      </c>
      <c r="L171" s="93">
        <f>Inputs_Summary!N27</f>
        <v>0</v>
      </c>
      <c r="M171" s="93">
        <f>Inputs_Summary!O27</f>
        <v>0</v>
      </c>
      <c r="N171" s="93">
        <f>Inputs_Summary!P27</f>
        <v>0</v>
      </c>
      <c r="O171" s="93">
        <f>Inputs_Summary!Q27</f>
        <v>0</v>
      </c>
      <c r="P171" s="99"/>
    </row>
    <row r="172" spans="2:20" s="32" customFormat="1" x14ac:dyDescent="0.3">
      <c r="B172" s="33" t="s">
        <v>19</v>
      </c>
      <c r="C172" s="93">
        <f>Inputs_Summary!E28</f>
        <v>650</v>
      </c>
      <c r="D172" s="93">
        <f>Inputs_Summary!F28</f>
        <v>650</v>
      </c>
      <c r="E172" s="93">
        <f>Inputs_Summary!G28</f>
        <v>0</v>
      </c>
      <c r="F172" s="93">
        <f>Inputs_Summary!H28</f>
        <v>161</v>
      </c>
      <c r="G172" s="93">
        <f>Inputs_Summary!I28</f>
        <v>0</v>
      </c>
      <c r="H172" s="93">
        <f>Inputs_Summary!J28</f>
        <v>0</v>
      </c>
      <c r="I172" s="93">
        <f>Inputs_Summary!K28</f>
        <v>0</v>
      </c>
      <c r="J172" s="93">
        <f>Inputs_Summary!L28</f>
        <v>0</v>
      </c>
      <c r="K172" s="93">
        <f>Inputs_Summary!M28</f>
        <v>0</v>
      </c>
      <c r="L172" s="93">
        <f>Inputs_Summary!N28</f>
        <v>0</v>
      </c>
      <c r="M172" s="93">
        <f>Inputs_Summary!O28</f>
        <v>0</v>
      </c>
      <c r="N172" s="93">
        <f>Inputs_Summary!P28</f>
        <v>201</v>
      </c>
      <c r="O172" s="93">
        <f>Inputs_Summary!Q28</f>
        <v>0</v>
      </c>
      <c r="P172" s="99"/>
    </row>
    <row r="173" spans="2:20" s="32" customFormat="1" x14ac:dyDescent="0.3">
      <c r="B173" s="33" t="s">
        <v>20</v>
      </c>
      <c r="C173" s="94">
        <f>Inputs_Summary!E29</f>
        <v>0.26832454873646205</v>
      </c>
      <c r="D173" s="94">
        <f>Inputs_Summary!F29</f>
        <v>0.12287246155234656</v>
      </c>
      <c r="E173" s="94">
        <f>Inputs_Summary!G29</f>
        <v>0.95</v>
      </c>
      <c r="F173" s="94">
        <f>Inputs_Summary!H29</f>
        <v>2.5</v>
      </c>
      <c r="G173" s="94">
        <f>Inputs_Summary!I29</f>
        <v>0.3</v>
      </c>
      <c r="H173" s="94">
        <f>Inputs_Summary!J29</f>
        <v>0.93</v>
      </c>
      <c r="I173" s="94">
        <f>Inputs_Summary!K29</f>
        <v>3.3</v>
      </c>
      <c r="J173" s="94">
        <f>Inputs_Summary!L29</f>
        <v>1.7</v>
      </c>
      <c r="K173" s="94">
        <f>Inputs_Summary!M29</f>
        <v>1.107</v>
      </c>
      <c r="L173" s="94">
        <f>Inputs_Summary!N29</f>
        <v>1.65</v>
      </c>
      <c r="M173" s="94">
        <f>Inputs_Summary!O29</f>
        <v>1.51</v>
      </c>
      <c r="N173" s="94">
        <f>Inputs_Summary!P29</f>
        <v>0.05</v>
      </c>
      <c r="O173" s="94">
        <f>Inputs_Summary!Q29</f>
        <v>0</v>
      </c>
      <c r="P173" s="100"/>
    </row>
    <row r="174" spans="2:20" s="58" customFormat="1" x14ac:dyDescent="0.3">
      <c r="B174" s="67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</row>
    <row r="175" spans="2:20" ht="28.8" x14ac:dyDescent="0.3">
      <c r="B175" s="43" t="s">
        <v>45</v>
      </c>
      <c r="C175" s="43" t="s">
        <v>0</v>
      </c>
      <c r="D175" s="43" t="s">
        <v>1</v>
      </c>
      <c r="E175" s="43" t="s">
        <v>28</v>
      </c>
      <c r="F175" s="2" t="s">
        <v>29</v>
      </c>
      <c r="G175" s="2" t="s">
        <v>6</v>
      </c>
      <c r="H175" s="43" t="s">
        <v>2</v>
      </c>
      <c r="I175" s="43" t="s">
        <v>3</v>
      </c>
      <c r="J175" s="43" t="s">
        <v>4</v>
      </c>
      <c r="K175" s="43" t="s">
        <v>9</v>
      </c>
      <c r="L175" s="43" t="s">
        <v>8</v>
      </c>
      <c r="M175" s="43" t="s">
        <v>25</v>
      </c>
      <c r="N175" s="43" t="s">
        <v>7</v>
      </c>
      <c r="O175" s="43" t="s">
        <v>89</v>
      </c>
      <c r="P175" s="25"/>
      <c r="Q175" s="43" t="s">
        <v>5</v>
      </c>
      <c r="R175" s="43" t="s">
        <v>91</v>
      </c>
      <c r="T175" s="43" t="s">
        <v>10</v>
      </c>
    </row>
    <row r="176" spans="2:20" x14ac:dyDescent="0.3">
      <c r="B176" s="3">
        <v>2016</v>
      </c>
      <c r="C176" s="19">
        <f t="shared" ref="C176:O176" si="73">((C$172+C$171)*C4+C$173*C34*1000)/1000000</f>
        <v>95.4358045170775</v>
      </c>
      <c r="D176" s="19">
        <f t="shared" si="73"/>
        <v>3.0206166863931165</v>
      </c>
      <c r="E176" s="19">
        <f t="shared" si="73"/>
        <v>0.71827291818882821</v>
      </c>
      <c r="F176" s="19">
        <f t="shared" si="73"/>
        <v>5.6112431781664789</v>
      </c>
      <c r="G176" s="19">
        <f t="shared" si="73"/>
        <v>4.7397372806457199</v>
      </c>
      <c r="H176" s="19">
        <f t="shared" si="73"/>
        <v>3.7406611452973988</v>
      </c>
      <c r="I176" s="19">
        <f t="shared" si="73"/>
        <v>2.7313107545794142</v>
      </c>
      <c r="J176" s="19">
        <f t="shared" si="73"/>
        <v>4.4864465988215327</v>
      </c>
      <c r="K176" s="19">
        <f t="shared" si="73"/>
        <v>0</v>
      </c>
      <c r="L176" s="19">
        <f t="shared" si="73"/>
        <v>2.6131623050841757</v>
      </c>
      <c r="M176" s="19">
        <f t="shared" si="73"/>
        <v>0</v>
      </c>
      <c r="N176" s="19">
        <f t="shared" si="73"/>
        <v>0.46729964879989472</v>
      </c>
      <c r="O176" s="19">
        <f t="shared" si="73"/>
        <v>0</v>
      </c>
      <c r="P176" s="62"/>
      <c r="Q176" s="39">
        <f>G176+N176</f>
        <v>5.2070369294456142</v>
      </c>
      <c r="R176" s="5">
        <f>SUM(K176:L176)</f>
        <v>2.6131623050841757</v>
      </c>
      <c r="T176" s="5">
        <f>SUM(C176:O176)</f>
        <v>123.56455503305405</v>
      </c>
    </row>
    <row r="177" spans="2:23" x14ac:dyDescent="0.3">
      <c r="B177" s="3">
        <v>2030</v>
      </c>
      <c r="C177" s="19">
        <f t="shared" ref="C177:O177" si="74">((C$172+C$171)*C5+C$173*C35*1000)/1000000</f>
        <v>61.193565476703803</v>
      </c>
      <c r="D177" s="19">
        <f t="shared" si="74"/>
        <v>2.9933056855363502</v>
      </c>
      <c r="E177" s="19">
        <f t="shared" si="74"/>
        <v>2.1056178186925352</v>
      </c>
      <c r="F177" s="19">
        <f t="shared" si="74"/>
        <v>0.89319337623953743</v>
      </c>
      <c r="G177" s="19">
        <f t="shared" si="74"/>
        <v>3.6728845415408977</v>
      </c>
      <c r="H177" s="19">
        <f t="shared" si="74"/>
        <v>3.8939675275663324</v>
      </c>
      <c r="I177" s="19">
        <f t="shared" si="74"/>
        <v>2.7735587340270511</v>
      </c>
      <c r="J177" s="19">
        <f t="shared" si="74"/>
        <v>4.459807372999367</v>
      </c>
      <c r="K177" s="19">
        <f t="shared" si="74"/>
        <v>0</v>
      </c>
      <c r="L177" s="19">
        <f t="shared" si="74"/>
        <v>2.5884304204694204</v>
      </c>
      <c r="M177" s="19">
        <f t="shared" si="74"/>
        <v>0</v>
      </c>
      <c r="N177" s="19">
        <f t="shared" si="74"/>
        <v>0.45430975444848715</v>
      </c>
      <c r="O177" s="19">
        <f t="shared" si="74"/>
        <v>0</v>
      </c>
      <c r="P177" s="62"/>
      <c r="Q177" s="39">
        <f>G177+N177</f>
        <v>4.1271942959893853</v>
      </c>
      <c r="R177" s="5">
        <f>SUM(K177:L177)</f>
        <v>2.5884304204694204</v>
      </c>
      <c r="T177" s="5">
        <f t="shared" ref="T177:T179" si="75">SUM(C177:O177)</f>
        <v>85.028640708223776</v>
      </c>
    </row>
    <row r="178" spans="2:23" x14ac:dyDescent="0.3">
      <c r="B178" s="3">
        <v>2040</v>
      </c>
      <c r="C178" s="19">
        <f t="shared" ref="C178:O178" si="76">((C$172+C$171)*C6+C$173*C36*1000)/1000000</f>
        <v>18.470714960510062</v>
      </c>
      <c r="D178" s="19">
        <f t="shared" si="76"/>
        <v>2.8856930979006674</v>
      </c>
      <c r="E178" s="19">
        <f t="shared" si="76"/>
        <v>2.1303737784269634</v>
      </c>
      <c r="F178" s="19">
        <f t="shared" si="76"/>
        <v>0.36014512361907525</v>
      </c>
      <c r="G178" s="19">
        <f t="shared" si="76"/>
        <v>3.4119522531433319</v>
      </c>
      <c r="H178" s="19">
        <f t="shared" si="76"/>
        <v>0</v>
      </c>
      <c r="I178" s="19">
        <f t="shared" si="76"/>
        <v>2.7837915072003874</v>
      </c>
      <c r="J178" s="19">
        <f t="shared" si="76"/>
        <v>1.3196899060649454</v>
      </c>
      <c r="K178" s="19">
        <f t="shared" si="76"/>
        <v>0</v>
      </c>
      <c r="L178" s="19">
        <f t="shared" si="76"/>
        <v>2.6628291381375133</v>
      </c>
      <c r="M178" s="19">
        <f t="shared" si="76"/>
        <v>0</v>
      </c>
      <c r="N178" s="19">
        <f t="shared" si="76"/>
        <v>0.46410062803049651</v>
      </c>
      <c r="O178" s="19">
        <f t="shared" si="76"/>
        <v>0</v>
      </c>
      <c r="P178" s="62"/>
      <c r="Q178" s="39">
        <f>G178+N178</f>
        <v>3.8760528811738286</v>
      </c>
      <c r="R178" s="5">
        <f>SUM(K178:L178)</f>
        <v>2.6628291381375133</v>
      </c>
      <c r="T178" s="5">
        <f t="shared" si="75"/>
        <v>34.489290393033443</v>
      </c>
    </row>
    <row r="179" spans="2:23" x14ac:dyDescent="0.3">
      <c r="B179" s="3">
        <v>2050</v>
      </c>
      <c r="C179" s="19">
        <f t="shared" ref="C179:O179" si="77">((C$172+C$171)*C7+C$173*C37*1000)/1000000</f>
        <v>0.80198999999999998</v>
      </c>
      <c r="D179" s="19">
        <f t="shared" si="77"/>
        <v>0</v>
      </c>
      <c r="E179" s="19">
        <f t="shared" si="77"/>
        <v>2.1337340531153748</v>
      </c>
      <c r="F179" s="19">
        <f t="shared" si="77"/>
        <v>0</v>
      </c>
      <c r="G179" s="19">
        <f t="shared" si="77"/>
        <v>3.2747141564470246</v>
      </c>
      <c r="H179" s="19">
        <f t="shared" si="77"/>
        <v>0</v>
      </c>
      <c r="I179" s="19">
        <f t="shared" si="77"/>
        <v>0</v>
      </c>
      <c r="J179" s="19">
        <f t="shared" si="77"/>
        <v>0</v>
      </c>
      <c r="K179" s="19">
        <f t="shared" si="77"/>
        <v>0</v>
      </c>
      <c r="L179" s="19">
        <f t="shared" si="77"/>
        <v>2.6850152572136259</v>
      </c>
      <c r="M179" s="19">
        <f t="shared" si="77"/>
        <v>0</v>
      </c>
      <c r="N179" s="19">
        <f t="shared" si="77"/>
        <v>0.46020887346200839</v>
      </c>
      <c r="O179" s="19">
        <f t="shared" si="77"/>
        <v>0</v>
      </c>
      <c r="P179" s="62"/>
      <c r="Q179" s="39">
        <f>G179+N179</f>
        <v>3.7349230299090328</v>
      </c>
      <c r="R179" s="5">
        <f>SUM(K179:L179)</f>
        <v>2.6850152572136259</v>
      </c>
      <c r="T179" s="5">
        <f t="shared" si="75"/>
        <v>9.3556623402380339</v>
      </c>
    </row>
    <row r="180" spans="2:23" x14ac:dyDescent="0.3">
      <c r="B180" s="43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69"/>
      <c r="Q180" s="5"/>
      <c r="R180" s="5"/>
      <c r="S180" s="5"/>
      <c r="T180" s="5"/>
    </row>
    <row r="181" spans="2:23" s="32" customFormat="1" ht="15.75" customHeight="1" x14ac:dyDescent="0.3">
      <c r="B181" s="33" t="s">
        <v>21</v>
      </c>
      <c r="C181" s="93">
        <f>Inputs_Summary!E32</f>
        <v>4602</v>
      </c>
      <c r="D181" s="93">
        <f>Inputs_Summary!F32</f>
        <v>6454.9045250562804</v>
      </c>
      <c r="E181" s="93">
        <f>Inputs_Summary!G32</f>
        <v>901.10972649676557</v>
      </c>
      <c r="F181" s="93">
        <f>Inputs_Summary!H32</f>
        <v>794.35459770843181</v>
      </c>
      <c r="G181" s="93">
        <f>Inputs_Summary!I32</f>
        <v>0</v>
      </c>
      <c r="H181" s="93">
        <f>Inputs_Summary!J32</f>
        <v>0</v>
      </c>
      <c r="I181" s="93">
        <f>Inputs_Summary!K32</f>
        <v>0</v>
      </c>
      <c r="J181" s="93">
        <f>Inputs_Summary!L32</f>
        <v>0</v>
      </c>
      <c r="K181" s="93">
        <f>Inputs_Summary!M32</f>
        <v>2810</v>
      </c>
      <c r="L181" s="93">
        <f>Inputs_Summary!N32</f>
        <v>0</v>
      </c>
      <c r="M181" s="93">
        <f>Inputs_Summary!O32</f>
        <v>0</v>
      </c>
      <c r="N181" s="93">
        <f>Inputs_Summary!P32</f>
        <v>2328.2524449730454</v>
      </c>
      <c r="O181" s="93">
        <f>Inputs_Summary!Q32</f>
        <v>0</v>
      </c>
      <c r="P181" s="99"/>
    </row>
    <row r="182" spans="2:23" s="32" customFormat="1" x14ac:dyDescent="0.3">
      <c r="B182" s="33" t="s">
        <v>19</v>
      </c>
      <c r="C182" s="93">
        <f>Inputs_Summary!E33</f>
        <v>924</v>
      </c>
      <c r="D182" s="93">
        <f>Inputs_Summary!F33</f>
        <v>968.06859205776175</v>
      </c>
      <c r="E182" s="93">
        <f>Inputs_Summary!G33</f>
        <v>165.17328519855596</v>
      </c>
      <c r="F182" s="93">
        <f>Inputs_Summary!H33</f>
        <v>160.79783393501805</v>
      </c>
      <c r="G182" s="93">
        <f>Inputs_Summary!I33</f>
        <v>0</v>
      </c>
      <c r="H182" s="93">
        <f>Inputs_Summary!J33</f>
        <v>0</v>
      </c>
      <c r="I182" s="93">
        <f>Inputs_Summary!K33</f>
        <v>0</v>
      </c>
      <c r="J182" s="93">
        <f>Inputs_Summary!L33</f>
        <v>0</v>
      </c>
      <c r="K182" s="93">
        <f>Inputs_Summary!M33</f>
        <v>2373</v>
      </c>
      <c r="L182" s="93">
        <f>Inputs_Summary!N33</f>
        <v>0</v>
      </c>
      <c r="M182" s="93">
        <f>Inputs_Summary!O33</f>
        <v>0</v>
      </c>
      <c r="N182" s="93">
        <f>Inputs_Summary!P33</f>
        <v>201.27075812274367</v>
      </c>
      <c r="O182" s="93">
        <f>Inputs_Summary!Q33</f>
        <v>0</v>
      </c>
      <c r="P182" s="99"/>
    </row>
    <row r="183" spans="2:23" s="32" customFormat="1" x14ac:dyDescent="0.3">
      <c r="B183" s="33" t="s">
        <v>20</v>
      </c>
      <c r="C183" s="93">
        <f>Inputs_Summary!E34</f>
        <v>0.36168632057761729</v>
      </c>
      <c r="D183" s="93">
        <f>Inputs_Summary!F34</f>
        <v>0.12287246155234656</v>
      </c>
      <c r="E183" s="93">
        <f>Inputs_Summary!G34</f>
        <v>1.1311272563176895</v>
      </c>
      <c r="F183" s="93">
        <f>Inputs_Summary!H34</f>
        <v>1.730256498194946</v>
      </c>
      <c r="G183" s="93">
        <f>Inputs_Summary!I34</f>
        <v>1.24</v>
      </c>
      <c r="H183" s="93">
        <f>Inputs_Summary!J34</f>
        <v>0.70507456548359604</v>
      </c>
      <c r="I183" s="93">
        <f>Inputs_Summary!K34</f>
        <v>2.2907692307692309</v>
      </c>
      <c r="J183" s="93">
        <f>Inputs_Summary!L34</f>
        <v>0.79657730380457292</v>
      </c>
      <c r="K183" s="93">
        <f>Inputs_Summary!M34</f>
        <v>0.09</v>
      </c>
      <c r="L183" s="93">
        <f>Inputs_Summary!N34</f>
        <v>1.61</v>
      </c>
      <c r="M183" s="93">
        <f>Inputs_Summary!O34</f>
        <v>1.51</v>
      </c>
      <c r="N183" s="93">
        <f>Inputs_Summary!P34</f>
        <v>0</v>
      </c>
      <c r="O183" s="93">
        <f>Inputs_Summary!Q34</f>
        <v>0</v>
      </c>
      <c r="P183" s="99"/>
    </row>
    <row r="184" spans="2:23" s="58" customFormat="1" x14ac:dyDescent="0.3">
      <c r="B184" s="67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</row>
    <row r="185" spans="2:23" ht="28.8" x14ac:dyDescent="0.3">
      <c r="B185" s="43" t="s">
        <v>46</v>
      </c>
      <c r="C185" s="43" t="s">
        <v>0</v>
      </c>
      <c r="D185" s="43" t="s">
        <v>1</v>
      </c>
      <c r="E185" s="43" t="s">
        <v>28</v>
      </c>
      <c r="F185" s="2" t="s">
        <v>29</v>
      </c>
      <c r="G185" s="2" t="s">
        <v>6</v>
      </c>
      <c r="H185" s="43" t="s">
        <v>2</v>
      </c>
      <c r="I185" s="43" t="s">
        <v>3</v>
      </c>
      <c r="J185" s="43" t="s">
        <v>4</v>
      </c>
      <c r="K185" s="43" t="s">
        <v>9</v>
      </c>
      <c r="L185" s="43" t="s">
        <v>8</v>
      </c>
      <c r="M185" s="43" t="s">
        <v>25</v>
      </c>
      <c r="N185" s="43" t="s">
        <v>7</v>
      </c>
      <c r="O185" s="43" t="s">
        <v>89</v>
      </c>
      <c r="P185" s="25"/>
      <c r="Q185" s="43" t="s">
        <v>5</v>
      </c>
      <c r="R185" s="43" t="s">
        <v>91</v>
      </c>
      <c r="T185" s="43" t="s">
        <v>10</v>
      </c>
    </row>
    <row r="186" spans="2:23" x14ac:dyDescent="0.3">
      <c r="B186" s="3">
        <v>2016</v>
      </c>
      <c r="C186" s="19">
        <f t="shared" ref="C186:O186" si="78">((C$182+C$181)*C10+C$183*C40*1000)/1000000</f>
        <v>3.9897719999999999</v>
      </c>
      <c r="D186" s="19">
        <f t="shared" si="78"/>
        <v>0</v>
      </c>
      <c r="E186" s="19">
        <f t="shared" si="78"/>
        <v>0</v>
      </c>
      <c r="F186" s="19">
        <f t="shared" si="78"/>
        <v>0</v>
      </c>
      <c r="G186" s="19">
        <f t="shared" si="78"/>
        <v>0</v>
      </c>
      <c r="H186" s="19">
        <f t="shared" si="78"/>
        <v>0</v>
      </c>
      <c r="I186" s="19">
        <f t="shared" si="78"/>
        <v>0</v>
      </c>
      <c r="J186" s="19">
        <f t="shared" si="78"/>
        <v>0</v>
      </c>
      <c r="K186" s="19">
        <f t="shared" si="78"/>
        <v>0</v>
      </c>
      <c r="L186" s="19">
        <f t="shared" si="78"/>
        <v>0</v>
      </c>
      <c r="M186" s="19">
        <f t="shared" si="78"/>
        <v>0</v>
      </c>
      <c r="N186" s="19">
        <f t="shared" si="78"/>
        <v>0</v>
      </c>
      <c r="O186" s="19">
        <f t="shared" si="78"/>
        <v>0</v>
      </c>
      <c r="P186" s="62"/>
      <c r="Q186" s="39">
        <f>G186+N186</f>
        <v>0</v>
      </c>
      <c r="R186" s="5">
        <f>SUM(K186:L186)</f>
        <v>0</v>
      </c>
      <c r="T186" s="5">
        <f>SUM(C186:O186)</f>
        <v>3.9897719999999999</v>
      </c>
    </row>
    <row r="187" spans="2:23" x14ac:dyDescent="0.3">
      <c r="B187" s="3">
        <v>2030</v>
      </c>
      <c r="C187" s="19">
        <f t="shared" ref="C187:O187" si="79">((C$182+C$181)*C11+C$183*C41*1000)/1000000</f>
        <v>76.358252259970726</v>
      </c>
      <c r="D187" s="19">
        <f t="shared" si="79"/>
        <v>0</v>
      </c>
      <c r="E187" s="19">
        <f t="shared" si="79"/>
        <v>0</v>
      </c>
      <c r="F187" s="19">
        <f t="shared" si="79"/>
        <v>0</v>
      </c>
      <c r="G187" s="19">
        <f t="shared" si="79"/>
        <v>0.24157459935531292</v>
      </c>
      <c r="H187" s="19">
        <f t="shared" si="79"/>
        <v>6.330129987028247</v>
      </c>
      <c r="I187" s="19">
        <f t="shared" si="79"/>
        <v>9.6406603006488716</v>
      </c>
      <c r="J187" s="19">
        <f t="shared" si="79"/>
        <v>1.8825658557771652</v>
      </c>
      <c r="K187" s="19">
        <f t="shared" si="79"/>
        <v>0.30673690814790733</v>
      </c>
      <c r="L187" s="19">
        <f t="shared" si="79"/>
        <v>1.642185040373475</v>
      </c>
      <c r="M187" s="19">
        <f t="shared" si="79"/>
        <v>0</v>
      </c>
      <c r="N187" s="19">
        <f t="shared" si="79"/>
        <v>3.3693249065235911</v>
      </c>
      <c r="O187" s="19">
        <f t="shared" si="79"/>
        <v>0</v>
      </c>
      <c r="P187" s="62"/>
      <c r="Q187" s="39">
        <f>G187+N187</f>
        <v>3.610899505878904</v>
      </c>
      <c r="R187" s="5">
        <f>SUM(K187:L187)</f>
        <v>1.9489219485213822</v>
      </c>
      <c r="T187" s="5">
        <f t="shared" ref="T187:T189" si="80">SUM(C187:O187)</f>
        <v>99.771429857825296</v>
      </c>
    </row>
    <row r="188" spans="2:23" x14ac:dyDescent="0.3">
      <c r="B188" s="3">
        <v>2040</v>
      </c>
      <c r="C188" s="19">
        <f t="shared" ref="C188:O188" si="81">((C$182+C$181)*C12+C$183*C42*1000)/1000000</f>
        <v>74.958714021267895</v>
      </c>
      <c r="D188" s="19">
        <f t="shared" si="81"/>
        <v>0</v>
      </c>
      <c r="E188" s="19">
        <f t="shared" si="81"/>
        <v>0</v>
      </c>
      <c r="F188" s="19">
        <f t="shared" si="81"/>
        <v>0</v>
      </c>
      <c r="G188" s="19">
        <f t="shared" si="81"/>
        <v>0.24531911593755795</v>
      </c>
      <c r="H188" s="19">
        <f t="shared" si="81"/>
        <v>0</v>
      </c>
      <c r="I188" s="19">
        <f t="shared" si="81"/>
        <v>9.6736600374630299</v>
      </c>
      <c r="J188" s="19">
        <f t="shared" si="81"/>
        <v>1.8935189935747241</v>
      </c>
      <c r="K188" s="19">
        <f t="shared" si="81"/>
        <v>0.30678490860571878</v>
      </c>
      <c r="L188" s="19">
        <f t="shared" si="81"/>
        <v>1.6491855747202295</v>
      </c>
      <c r="M188" s="19">
        <f t="shared" si="81"/>
        <v>0</v>
      </c>
      <c r="N188" s="19">
        <f t="shared" si="81"/>
        <v>3.3693249065235911</v>
      </c>
      <c r="O188" s="19">
        <f t="shared" si="81"/>
        <v>0</v>
      </c>
      <c r="P188" s="62"/>
      <c r="Q188" s="39">
        <f>G188+N188</f>
        <v>3.6146440224611491</v>
      </c>
      <c r="R188" s="5">
        <f>SUM(K188:L188)</f>
        <v>1.9559704833259484</v>
      </c>
      <c r="T188" s="5">
        <f t="shared" si="80"/>
        <v>92.096507558092753</v>
      </c>
    </row>
    <row r="189" spans="2:23" x14ac:dyDescent="0.3">
      <c r="B189" s="3">
        <v>2050</v>
      </c>
      <c r="C189" s="19">
        <f t="shared" ref="C189:O189" si="82">((C$182+C$181)*C13+C$183*C43*1000)/1000000</f>
        <v>74.279988509389867</v>
      </c>
      <c r="D189" s="19">
        <f t="shared" si="82"/>
        <v>0</v>
      </c>
      <c r="E189" s="19">
        <f t="shared" si="82"/>
        <v>0</v>
      </c>
      <c r="F189" s="19">
        <f t="shared" si="82"/>
        <v>0</v>
      </c>
      <c r="G189" s="19">
        <f t="shared" si="82"/>
        <v>0.24607678632260876</v>
      </c>
      <c r="H189" s="19">
        <f t="shared" si="82"/>
        <v>0</v>
      </c>
      <c r="I189" s="19">
        <f t="shared" si="82"/>
        <v>0</v>
      </c>
      <c r="J189" s="19">
        <f t="shared" si="82"/>
        <v>0</v>
      </c>
      <c r="K189" s="19">
        <f t="shared" si="82"/>
        <v>0</v>
      </c>
      <c r="L189" s="19">
        <f t="shared" si="82"/>
        <v>0</v>
      </c>
      <c r="M189" s="19">
        <f t="shared" si="82"/>
        <v>0</v>
      </c>
      <c r="N189" s="19">
        <f t="shared" si="82"/>
        <v>3.3693249065235911</v>
      </c>
      <c r="O189" s="19">
        <f t="shared" si="82"/>
        <v>0</v>
      </c>
      <c r="P189" s="62"/>
      <c r="Q189" s="39">
        <f>G189+N189</f>
        <v>3.6154016928461998</v>
      </c>
      <c r="R189" s="5">
        <f>SUM(K189:L189)</f>
        <v>0</v>
      </c>
      <c r="T189" s="5">
        <f t="shared" si="80"/>
        <v>77.895390202236058</v>
      </c>
    </row>
    <row r="190" spans="2:23" x14ac:dyDescent="0.3"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69"/>
      <c r="Q190" s="5"/>
      <c r="R190" s="5"/>
      <c r="S190" s="5"/>
      <c r="T190" s="5"/>
    </row>
    <row r="191" spans="2:23" x14ac:dyDescent="0.3">
      <c r="Q191" s="5"/>
      <c r="R191" s="5"/>
      <c r="S191" s="5"/>
      <c r="T191" s="5"/>
      <c r="W191" s="5"/>
    </row>
    <row r="192" spans="2:23" x14ac:dyDescent="0.3">
      <c r="B192" s="33" t="s">
        <v>21</v>
      </c>
      <c r="C192" s="95">
        <f>Inputs_Summary!E37</f>
        <v>3559.4976938012715</v>
      </c>
      <c r="D192" s="95">
        <f>Inputs_Summary!F37</f>
        <v>6454.9045250562804</v>
      </c>
      <c r="E192" s="95">
        <f>Inputs_Summary!G37</f>
        <v>901.10972649676557</v>
      </c>
      <c r="F192" s="95">
        <f>Inputs_Summary!H37</f>
        <v>794.35459770843181</v>
      </c>
      <c r="G192" s="95">
        <f>Inputs_Summary!I37</f>
        <v>5564</v>
      </c>
      <c r="H192" s="95">
        <f>Inputs_Summary!J37</f>
        <v>1911</v>
      </c>
      <c r="I192" s="95">
        <f>Inputs_Summary!K37</f>
        <v>10206</v>
      </c>
      <c r="J192" s="95">
        <f>Inputs_Summary!L37</f>
        <v>1073</v>
      </c>
      <c r="K192" s="95">
        <f>Inputs_Summary!M37</f>
        <v>1154.0789960129314</v>
      </c>
      <c r="L192" s="95">
        <f>Inputs_Summary!N37</f>
        <v>4395</v>
      </c>
      <c r="M192" s="95">
        <f>Inputs_Summary!O37</f>
        <v>0</v>
      </c>
      <c r="N192" s="95">
        <f>Inputs_Summary!P37</f>
        <v>2328.2524449730454</v>
      </c>
      <c r="O192" s="95">
        <f>Inputs_Summary!Q37</f>
        <v>2512</v>
      </c>
      <c r="P192" s="101"/>
      <c r="Q192" s="5"/>
      <c r="R192" s="5"/>
      <c r="S192" s="5"/>
      <c r="T192" s="5"/>
    </row>
    <row r="193" spans="1:20" x14ac:dyDescent="0.3">
      <c r="B193" s="3">
        <v>2030</v>
      </c>
      <c r="C193" s="95">
        <f>Inputs_Summary!E38</f>
        <v>3559.4976938012715</v>
      </c>
      <c r="D193" s="95">
        <f>Inputs_Summary!F38</f>
        <v>6281</v>
      </c>
      <c r="E193" s="95">
        <f>Inputs_Summary!G38</f>
        <v>901.10972649676557</v>
      </c>
      <c r="F193" s="95">
        <f>Inputs_Summary!H38</f>
        <v>794.35459770843181</v>
      </c>
      <c r="G193" s="95">
        <f>Inputs_Summary!I38</f>
        <v>5564</v>
      </c>
      <c r="H193" s="95">
        <f>Inputs_Summary!J38</f>
        <v>1911</v>
      </c>
      <c r="I193" s="95">
        <f>Inputs_Summary!K38</f>
        <v>8246</v>
      </c>
      <c r="J193" s="95">
        <f>Inputs_Summary!L38</f>
        <v>967</v>
      </c>
      <c r="K193" s="95">
        <f>Inputs_Summary!M38</f>
        <v>1154.0789960129314</v>
      </c>
      <c r="L193" s="95">
        <f>Inputs_Summary!N38</f>
        <v>4395</v>
      </c>
      <c r="M193" s="95">
        <f>Inputs_Summary!O38</f>
        <v>0</v>
      </c>
      <c r="N193" s="95">
        <f>Inputs_Summary!P38</f>
        <v>2328.2524449730454</v>
      </c>
      <c r="O193" s="95">
        <f>Inputs_Summary!Q38</f>
        <v>2512</v>
      </c>
      <c r="P193" s="101"/>
      <c r="Q193" s="5"/>
      <c r="R193" s="5"/>
      <c r="S193" s="5"/>
      <c r="T193" s="5"/>
    </row>
    <row r="194" spans="1:20" x14ac:dyDescent="0.3">
      <c r="B194" s="3">
        <v>2040</v>
      </c>
      <c r="C194" s="95">
        <f>Inputs_Summary!E39</f>
        <v>3559.4976938012715</v>
      </c>
      <c r="D194" s="95">
        <f>Inputs_Summary!F39</f>
        <v>6281</v>
      </c>
      <c r="E194" s="95">
        <f>Inputs_Summary!G39</f>
        <v>901.10972649676557</v>
      </c>
      <c r="F194" s="95">
        <f>Inputs_Summary!H39</f>
        <v>794.35459770843181</v>
      </c>
      <c r="G194" s="95">
        <f>Inputs_Summary!I39</f>
        <v>5564</v>
      </c>
      <c r="H194" s="95">
        <f>Inputs_Summary!J39</f>
        <v>1911</v>
      </c>
      <c r="I194" s="95">
        <f>Inputs_Summary!K39</f>
        <v>7196</v>
      </c>
      <c r="J194" s="95">
        <f>Inputs_Summary!L39</f>
        <v>911</v>
      </c>
      <c r="K194" s="95">
        <f>Inputs_Summary!M39</f>
        <v>1154.0789960129314</v>
      </c>
      <c r="L194" s="95">
        <f>Inputs_Summary!N39</f>
        <v>4395</v>
      </c>
      <c r="M194" s="95">
        <f>Inputs_Summary!O39</f>
        <v>0</v>
      </c>
      <c r="N194" s="95">
        <f>Inputs_Summary!P39</f>
        <v>2328.2524449730454</v>
      </c>
      <c r="O194" s="95">
        <f>Inputs_Summary!Q39</f>
        <v>2512</v>
      </c>
      <c r="P194" s="101"/>
      <c r="Q194" s="5"/>
      <c r="R194" s="5"/>
      <c r="S194" s="5"/>
      <c r="T194" s="5"/>
    </row>
    <row r="195" spans="1:20" x14ac:dyDescent="0.3">
      <c r="B195" s="3">
        <v>2050</v>
      </c>
      <c r="C195" s="95">
        <f>Inputs_Summary!E40</f>
        <v>3559.4976938012715</v>
      </c>
      <c r="D195" s="95">
        <f>Inputs_Summary!F40</f>
        <v>6281</v>
      </c>
      <c r="E195" s="95">
        <f>Inputs_Summary!G40</f>
        <v>901.10972649676557</v>
      </c>
      <c r="F195" s="95">
        <f>Inputs_Summary!H40</f>
        <v>794.35459770843181</v>
      </c>
      <c r="G195" s="95">
        <f>Inputs_Summary!I40</f>
        <v>5564</v>
      </c>
      <c r="H195" s="95">
        <f>Inputs_Summary!J40</f>
        <v>1911</v>
      </c>
      <c r="I195" s="95">
        <f>Inputs_Summary!K40</f>
        <v>6146</v>
      </c>
      <c r="J195" s="95">
        <f>Inputs_Summary!L40</f>
        <v>854</v>
      </c>
      <c r="K195" s="95">
        <f>Inputs_Summary!M40</f>
        <v>1154.0789960129314</v>
      </c>
      <c r="L195" s="95">
        <f>Inputs_Summary!N40</f>
        <v>4395</v>
      </c>
      <c r="M195" s="95">
        <f>Inputs_Summary!O40</f>
        <v>0</v>
      </c>
      <c r="N195" s="95">
        <f>Inputs_Summary!P40</f>
        <v>2328.2524449730454</v>
      </c>
      <c r="O195" s="95">
        <f>Inputs_Summary!Q40</f>
        <v>2512</v>
      </c>
      <c r="P195" s="101"/>
      <c r="Q195" s="5"/>
      <c r="R195" s="5"/>
      <c r="S195" s="5"/>
      <c r="T195" s="5"/>
    </row>
    <row r="196" spans="1:20" s="32" customFormat="1" x14ac:dyDescent="0.3">
      <c r="B196" s="33" t="s">
        <v>19</v>
      </c>
      <c r="C196" s="95">
        <f>Inputs_Summary!E41</f>
        <v>924</v>
      </c>
      <c r="D196" s="95">
        <f>Inputs_Summary!F41</f>
        <v>968.06859205776175</v>
      </c>
      <c r="E196" s="95">
        <f>Inputs_Summary!G41</f>
        <v>165.17328519855596</v>
      </c>
      <c r="F196" s="95">
        <f>Inputs_Summary!H41</f>
        <v>160.79783393501805</v>
      </c>
      <c r="G196" s="95">
        <f>Inputs_Summary!I41</f>
        <v>907.42483754512637</v>
      </c>
      <c r="H196" s="95">
        <f>Inputs_Summary!J41</f>
        <v>0</v>
      </c>
      <c r="I196" s="95">
        <f>Inputs_Summary!K41</f>
        <v>0</v>
      </c>
      <c r="J196" s="95">
        <f>Inputs_Summary!L41</f>
        <v>0</v>
      </c>
      <c r="K196" s="95">
        <f>Inputs_Summary!M41</f>
        <v>422</v>
      </c>
      <c r="L196" s="95">
        <f>Inputs_Summary!N41</f>
        <v>1655.0144404332129</v>
      </c>
      <c r="M196" s="95">
        <f>Inputs_Summary!O41</f>
        <v>0</v>
      </c>
      <c r="N196" s="95">
        <f>Inputs_Summary!P41</f>
        <v>201.27075812274367</v>
      </c>
      <c r="O196" s="95">
        <f>Inputs_Summary!Q41</f>
        <v>618</v>
      </c>
      <c r="P196" s="101"/>
    </row>
    <row r="197" spans="1:20" x14ac:dyDescent="0.3">
      <c r="B197" s="3">
        <v>2030</v>
      </c>
      <c r="C197" s="95">
        <f>Inputs_Summary!E42</f>
        <v>924</v>
      </c>
      <c r="D197" s="95">
        <f>Inputs_Summary!F42</f>
        <v>968.06859205776175</v>
      </c>
      <c r="E197" s="95">
        <f>Inputs_Summary!G42</f>
        <v>165.17328519855596</v>
      </c>
      <c r="F197" s="95">
        <f>Inputs_Summary!H42</f>
        <v>160.79783393501805</v>
      </c>
      <c r="G197" s="95">
        <f>Inputs_Summary!I42</f>
        <v>907.42483754512637</v>
      </c>
      <c r="H197" s="95">
        <f>Inputs_Summary!J42</f>
        <v>0</v>
      </c>
      <c r="I197" s="95">
        <f>Inputs_Summary!K42</f>
        <v>0</v>
      </c>
      <c r="J197" s="95">
        <f>Inputs_Summary!L42</f>
        <v>0</v>
      </c>
      <c r="K197" s="95">
        <f>Inputs_Summary!M42</f>
        <v>422</v>
      </c>
      <c r="L197" s="95">
        <f>Inputs_Summary!N42</f>
        <v>1655.0144404332129</v>
      </c>
      <c r="M197" s="95">
        <f>Inputs_Summary!O42</f>
        <v>0</v>
      </c>
      <c r="N197" s="95">
        <f>Inputs_Summary!P42</f>
        <v>201.27075812274367</v>
      </c>
      <c r="O197" s="95">
        <f>Inputs_Summary!Q42</f>
        <v>618</v>
      </c>
      <c r="P197" s="101"/>
      <c r="Q197" s="5"/>
      <c r="R197" s="5"/>
      <c r="S197" s="5"/>
      <c r="T197" s="5"/>
    </row>
    <row r="198" spans="1:20" x14ac:dyDescent="0.3">
      <c r="B198" s="3">
        <v>2040</v>
      </c>
      <c r="C198" s="95">
        <f>Inputs_Summary!E43</f>
        <v>924</v>
      </c>
      <c r="D198" s="95">
        <f>Inputs_Summary!F43</f>
        <v>968.06859205776175</v>
      </c>
      <c r="E198" s="95">
        <f>Inputs_Summary!G43</f>
        <v>165.17328519855596</v>
      </c>
      <c r="F198" s="95">
        <f>Inputs_Summary!H43</f>
        <v>160.79783393501805</v>
      </c>
      <c r="G198" s="95">
        <f>Inputs_Summary!I43</f>
        <v>907.42483754512637</v>
      </c>
      <c r="H198" s="95">
        <f>Inputs_Summary!J43</f>
        <v>0</v>
      </c>
      <c r="I198" s="95">
        <f>Inputs_Summary!K43</f>
        <v>0</v>
      </c>
      <c r="J198" s="95">
        <f>Inputs_Summary!L43</f>
        <v>0</v>
      </c>
      <c r="K198" s="95">
        <f>Inputs_Summary!M43</f>
        <v>422</v>
      </c>
      <c r="L198" s="95">
        <f>Inputs_Summary!N43</f>
        <v>1655.0144404332129</v>
      </c>
      <c r="M198" s="95">
        <f>Inputs_Summary!O43</f>
        <v>0</v>
      </c>
      <c r="N198" s="95">
        <f>Inputs_Summary!P43</f>
        <v>201.27075812274367</v>
      </c>
      <c r="O198" s="95">
        <f>Inputs_Summary!Q43</f>
        <v>618</v>
      </c>
      <c r="P198" s="101"/>
      <c r="Q198" s="5"/>
      <c r="R198" s="5"/>
      <c r="S198" s="5"/>
      <c r="T198" s="5"/>
    </row>
    <row r="199" spans="1:20" x14ac:dyDescent="0.3">
      <c r="B199" s="3">
        <v>2050</v>
      </c>
      <c r="C199" s="95">
        <f>Inputs_Summary!E44</f>
        <v>924</v>
      </c>
      <c r="D199" s="95">
        <f>Inputs_Summary!F44</f>
        <v>968.06859205776175</v>
      </c>
      <c r="E199" s="95">
        <f>Inputs_Summary!G44</f>
        <v>165.17328519855596</v>
      </c>
      <c r="F199" s="95">
        <f>Inputs_Summary!H44</f>
        <v>160.79783393501805</v>
      </c>
      <c r="G199" s="95">
        <f>Inputs_Summary!I44</f>
        <v>907.42483754512637</v>
      </c>
      <c r="H199" s="95">
        <f>Inputs_Summary!J44</f>
        <v>0</v>
      </c>
      <c r="I199" s="95">
        <f>Inputs_Summary!K44</f>
        <v>0</v>
      </c>
      <c r="J199" s="95">
        <f>Inputs_Summary!L44</f>
        <v>0</v>
      </c>
      <c r="K199" s="95">
        <f>Inputs_Summary!M44</f>
        <v>422</v>
      </c>
      <c r="L199" s="95">
        <f>Inputs_Summary!N44</f>
        <v>1655.0144404332129</v>
      </c>
      <c r="M199" s="95">
        <f>Inputs_Summary!O44</f>
        <v>0</v>
      </c>
      <c r="N199" s="95">
        <f>Inputs_Summary!P44</f>
        <v>201.27075812274367</v>
      </c>
      <c r="O199" s="95">
        <f>Inputs_Summary!Q44</f>
        <v>618</v>
      </c>
      <c r="P199" s="101"/>
      <c r="Q199" s="5"/>
      <c r="R199" s="5"/>
      <c r="S199" s="5"/>
      <c r="T199" s="5"/>
    </row>
    <row r="200" spans="1:20" s="32" customFormat="1" x14ac:dyDescent="0.3">
      <c r="B200" s="33" t="s">
        <v>20</v>
      </c>
      <c r="C200" s="94">
        <f>Inputs_Summary!E45</f>
        <v>0.36168632057761729</v>
      </c>
      <c r="D200" s="94">
        <f>Inputs_Summary!F45</f>
        <v>0.12287246155234656</v>
      </c>
      <c r="E200" s="94">
        <f>Inputs_Summary!G45</f>
        <v>1.1311272563176895</v>
      </c>
      <c r="F200" s="94">
        <f>Inputs_Summary!H45</f>
        <v>1.7302564981949458</v>
      </c>
      <c r="G200" s="94">
        <f>Inputs_Summary!I45</f>
        <v>0</v>
      </c>
      <c r="H200" s="94">
        <f>Inputs_Summary!J45</f>
        <v>0</v>
      </c>
      <c r="I200" s="94">
        <f>Inputs_Summary!K45</f>
        <v>0</v>
      </c>
      <c r="J200" s="94">
        <f>Inputs_Summary!L45</f>
        <v>0</v>
      </c>
      <c r="K200" s="94">
        <f>Inputs_Summary!M45</f>
        <v>1.42</v>
      </c>
      <c r="L200" s="94">
        <f>Inputs_Summary!N45</f>
        <v>0.46</v>
      </c>
      <c r="M200" s="94">
        <f>Inputs_Summary!O45</f>
        <v>1.51</v>
      </c>
      <c r="N200" s="94">
        <f>Inputs_Summary!P45</f>
        <v>0</v>
      </c>
      <c r="O200" s="94">
        <f>Inputs_Summary!Q45</f>
        <v>3.2000000000000001E-2</v>
      </c>
      <c r="P200" s="100"/>
    </row>
    <row r="201" spans="1:20" x14ac:dyDescent="0.3">
      <c r="B201" s="3">
        <v>2030</v>
      </c>
      <c r="C201" s="94">
        <f>Inputs_Summary!E46</f>
        <v>0.36168632057761729</v>
      </c>
      <c r="D201" s="94">
        <f>Inputs_Summary!F46</f>
        <v>0.12287246155234656</v>
      </c>
      <c r="E201" s="94">
        <f>Inputs_Summary!G46</f>
        <v>1.1311272563176895</v>
      </c>
      <c r="F201" s="94">
        <f>Inputs_Summary!H46</f>
        <v>1.7302564981949458</v>
      </c>
      <c r="G201" s="94">
        <f>Inputs_Summary!I46</f>
        <v>0</v>
      </c>
      <c r="H201" s="94">
        <f>Inputs_Summary!J46</f>
        <v>0</v>
      </c>
      <c r="I201" s="94">
        <f>Inputs_Summary!K46</f>
        <v>0</v>
      </c>
      <c r="J201" s="94">
        <f>Inputs_Summary!L46</f>
        <v>0</v>
      </c>
      <c r="K201" s="94">
        <f>Inputs_Summary!M46</f>
        <v>1.42</v>
      </c>
      <c r="L201" s="94">
        <f>Inputs_Summary!N46</f>
        <v>0.46</v>
      </c>
      <c r="M201" s="94">
        <f>Inputs_Summary!O46</f>
        <v>1.51</v>
      </c>
      <c r="N201" s="94">
        <f>Inputs_Summary!P46</f>
        <v>0</v>
      </c>
      <c r="O201" s="94">
        <f>Inputs_Summary!Q46</f>
        <v>3.2000000000000001E-2</v>
      </c>
      <c r="P201" s="100"/>
      <c r="Q201" s="5"/>
      <c r="R201" s="5"/>
      <c r="S201" s="5"/>
      <c r="T201" s="5"/>
    </row>
    <row r="202" spans="1:20" x14ac:dyDescent="0.3">
      <c r="B202" s="3">
        <v>2040</v>
      </c>
      <c r="C202" s="94">
        <f>Inputs_Summary!E47</f>
        <v>0.36168632057761729</v>
      </c>
      <c r="D202" s="94">
        <f>Inputs_Summary!F47</f>
        <v>0.12287246155234656</v>
      </c>
      <c r="E202" s="94">
        <f>Inputs_Summary!G47</f>
        <v>1.1311272563176895</v>
      </c>
      <c r="F202" s="94">
        <f>Inputs_Summary!H47</f>
        <v>1.7302564981949458</v>
      </c>
      <c r="G202" s="94">
        <f>Inputs_Summary!I47</f>
        <v>0</v>
      </c>
      <c r="H202" s="94">
        <f>Inputs_Summary!J47</f>
        <v>0</v>
      </c>
      <c r="I202" s="94">
        <f>Inputs_Summary!K47</f>
        <v>0</v>
      </c>
      <c r="J202" s="94">
        <f>Inputs_Summary!L47</f>
        <v>0</v>
      </c>
      <c r="K202" s="94">
        <f>Inputs_Summary!M47</f>
        <v>1.42</v>
      </c>
      <c r="L202" s="94">
        <f>Inputs_Summary!N47</f>
        <v>0.46</v>
      </c>
      <c r="M202" s="94">
        <f>Inputs_Summary!O47</f>
        <v>1.51</v>
      </c>
      <c r="N202" s="94">
        <f>Inputs_Summary!P47</f>
        <v>0</v>
      </c>
      <c r="O202" s="94">
        <f>Inputs_Summary!Q47</f>
        <v>3.2000000000000001E-2</v>
      </c>
      <c r="P202" s="100"/>
      <c r="Q202" s="5"/>
      <c r="R202" s="5"/>
      <c r="S202" s="5"/>
      <c r="T202" s="5"/>
    </row>
    <row r="203" spans="1:20" x14ac:dyDescent="0.3">
      <c r="B203" s="3">
        <v>2050</v>
      </c>
      <c r="C203" s="94">
        <f>Inputs_Summary!E48</f>
        <v>0.36168632057761729</v>
      </c>
      <c r="D203" s="94">
        <f>Inputs_Summary!F48</f>
        <v>0.12287246155234656</v>
      </c>
      <c r="E203" s="94">
        <f>Inputs_Summary!G48</f>
        <v>1.1311272563176895</v>
      </c>
      <c r="F203" s="94">
        <f>Inputs_Summary!H48</f>
        <v>1.7302564981949458</v>
      </c>
      <c r="G203" s="94">
        <f>Inputs_Summary!I48</f>
        <v>0</v>
      </c>
      <c r="H203" s="94">
        <f>Inputs_Summary!J48</f>
        <v>0</v>
      </c>
      <c r="I203" s="94">
        <f>Inputs_Summary!K48</f>
        <v>0</v>
      </c>
      <c r="J203" s="94">
        <f>Inputs_Summary!L48</f>
        <v>0</v>
      </c>
      <c r="K203" s="94">
        <f>Inputs_Summary!M48</f>
        <v>1.42</v>
      </c>
      <c r="L203" s="94">
        <f>Inputs_Summary!N48</f>
        <v>0.46</v>
      </c>
      <c r="M203" s="94">
        <f>Inputs_Summary!O48</f>
        <v>1.51</v>
      </c>
      <c r="N203" s="94">
        <f>Inputs_Summary!P48</f>
        <v>0</v>
      </c>
      <c r="O203" s="94">
        <f>Inputs_Summary!Q48</f>
        <v>3.2000000000000001E-2</v>
      </c>
      <c r="P203" s="100"/>
      <c r="Q203" s="5"/>
      <c r="R203" s="5"/>
      <c r="S203" s="5"/>
      <c r="T203" s="5"/>
    </row>
    <row r="204" spans="1:20" s="58" customFormat="1" x14ac:dyDescent="0.3">
      <c r="B204" s="67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</row>
    <row r="205" spans="1:20" ht="28.8" x14ac:dyDescent="0.3">
      <c r="B205" s="43" t="s">
        <v>22</v>
      </c>
      <c r="C205" s="43" t="s">
        <v>0</v>
      </c>
      <c r="D205" s="43" t="s">
        <v>1</v>
      </c>
      <c r="E205" s="43" t="s">
        <v>28</v>
      </c>
      <c r="F205" s="2" t="s">
        <v>29</v>
      </c>
      <c r="G205" s="2" t="s">
        <v>6</v>
      </c>
      <c r="H205" s="43" t="s">
        <v>2</v>
      </c>
      <c r="I205" s="43" t="s">
        <v>3</v>
      </c>
      <c r="J205" s="43" t="s">
        <v>4</v>
      </c>
      <c r="K205" s="43" t="s">
        <v>9</v>
      </c>
      <c r="L205" s="43" t="s">
        <v>8</v>
      </c>
      <c r="M205" s="43" t="s">
        <v>25</v>
      </c>
      <c r="N205" s="43" t="s">
        <v>7</v>
      </c>
      <c r="O205" s="43" t="s">
        <v>89</v>
      </c>
      <c r="P205" s="25"/>
      <c r="Q205" s="43" t="s">
        <v>5</v>
      </c>
      <c r="R205" s="43" t="s">
        <v>91</v>
      </c>
      <c r="T205" s="43" t="s">
        <v>10</v>
      </c>
    </row>
    <row r="206" spans="1:20" x14ac:dyDescent="0.3">
      <c r="A206" s="15">
        <f>C176+C186</f>
        <v>99.425576517077502</v>
      </c>
      <c r="B206" s="3">
        <v>2016</v>
      </c>
      <c r="C206" s="19">
        <f t="shared" ref="C206:O206" si="83">((C196+C192)*C16+C200*C46*1000)/1000000</f>
        <v>0</v>
      </c>
      <c r="D206" s="19">
        <f t="shared" si="83"/>
        <v>0</v>
      </c>
      <c r="E206" s="19">
        <f t="shared" si="83"/>
        <v>0</v>
      </c>
      <c r="F206" s="19">
        <f t="shared" si="83"/>
        <v>0</v>
      </c>
      <c r="G206" s="19">
        <f t="shared" si="83"/>
        <v>0</v>
      </c>
      <c r="H206" s="19">
        <f t="shared" si="83"/>
        <v>0</v>
      </c>
      <c r="I206" s="19">
        <f t="shared" si="83"/>
        <v>0</v>
      </c>
      <c r="J206" s="19">
        <f t="shared" si="83"/>
        <v>0</v>
      </c>
      <c r="K206" s="19">
        <f t="shared" si="83"/>
        <v>0</v>
      </c>
      <c r="L206" s="19">
        <f t="shared" si="83"/>
        <v>0</v>
      </c>
      <c r="M206" s="19">
        <f t="shared" si="83"/>
        <v>0</v>
      </c>
      <c r="N206" s="19">
        <f t="shared" si="83"/>
        <v>0</v>
      </c>
      <c r="O206" s="19">
        <f t="shared" si="83"/>
        <v>0</v>
      </c>
      <c r="P206" s="62"/>
      <c r="Q206" s="39">
        <f>G206+N206</f>
        <v>0</v>
      </c>
      <c r="R206" s="5">
        <f>SUM(K206:L206)</f>
        <v>0</v>
      </c>
      <c r="T206" s="5">
        <f>SUM(C206:O206)</f>
        <v>0</v>
      </c>
    </row>
    <row r="207" spans="1:20" x14ac:dyDescent="0.3">
      <c r="A207" s="15">
        <f t="shared" ref="A207:A209" si="84">C177+C187</f>
        <v>137.55181773667454</v>
      </c>
      <c r="B207" s="3">
        <v>2030</v>
      </c>
      <c r="C207" s="19">
        <f t="shared" ref="C207:O207" si="85">((C197+C193)*C17+C201*C47*1000)/1000000</f>
        <v>0</v>
      </c>
      <c r="D207" s="19">
        <f t="shared" si="85"/>
        <v>0</v>
      </c>
      <c r="E207" s="19">
        <f t="shared" si="85"/>
        <v>10.185268599927015</v>
      </c>
      <c r="F207" s="19">
        <f t="shared" si="85"/>
        <v>16.004362154866648</v>
      </c>
      <c r="G207" s="19">
        <f t="shared" si="85"/>
        <v>0</v>
      </c>
      <c r="H207" s="19">
        <f t="shared" si="85"/>
        <v>40.131</v>
      </c>
      <c r="I207" s="19">
        <f t="shared" si="85"/>
        <v>0</v>
      </c>
      <c r="J207" s="19">
        <f t="shared" si="85"/>
        <v>12.0875</v>
      </c>
      <c r="K207" s="19">
        <f t="shared" si="85"/>
        <v>0</v>
      </c>
      <c r="L207" s="19">
        <f t="shared" si="85"/>
        <v>0</v>
      </c>
      <c r="M207" s="19">
        <f t="shared" si="85"/>
        <v>0</v>
      </c>
      <c r="N207" s="19">
        <f t="shared" si="85"/>
        <v>0.84233122663089777</v>
      </c>
      <c r="O207" s="19">
        <f t="shared" si="85"/>
        <v>9.3900000000000008E-3</v>
      </c>
      <c r="P207" s="62"/>
      <c r="Q207" s="39">
        <f>G207+N207</f>
        <v>0.84233122663089777</v>
      </c>
      <c r="R207" s="5">
        <f>SUM(K207:L207)</f>
        <v>0</v>
      </c>
      <c r="T207" s="5">
        <f t="shared" ref="T207:T209" si="86">SUM(C207:O207)</f>
        <v>79.259851981424561</v>
      </c>
    </row>
    <row r="208" spans="1:20" x14ac:dyDescent="0.3">
      <c r="A208" s="15">
        <f t="shared" si="84"/>
        <v>93.42942898177796</v>
      </c>
      <c r="B208" s="3">
        <v>2040</v>
      </c>
      <c r="C208" s="19">
        <f t="shared" ref="C208:O208" si="87">((C198+C194)*C18+C202*C48*1000)/1000000</f>
        <v>0</v>
      </c>
      <c r="D208" s="19">
        <f t="shared" si="87"/>
        <v>0</v>
      </c>
      <c r="E208" s="19">
        <f t="shared" si="87"/>
        <v>38.442985510875829</v>
      </c>
      <c r="F208" s="19">
        <f t="shared" si="87"/>
        <v>41.720467172848387</v>
      </c>
      <c r="G208" s="19">
        <f t="shared" si="87"/>
        <v>0</v>
      </c>
      <c r="H208" s="19">
        <f t="shared" si="87"/>
        <v>110.0736</v>
      </c>
      <c r="I208" s="19">
        <f t="shared" si="87"/>
        <v>0</v>
      </c>
      <c r="J208" s="19">
        <f t="shared" si="87"/>
        <v>46.005499999999998</v>
      </c>
      <c r="K208" s="19">
        <f t="shared" si="87"/>
        <v>2.5667037903353447</v>
      </c>
      <c r="L208" s="19">
        <f t="shared" si="87"/>
        <v>0</v>
      </c>
      <c r="M208" s="19">
        <f t="shared" si="87"/>
        <v>0</v>
      </c>
      <c r="N208" s="19">
        <f t="shared" si="87"/>
        <v>0.84233122663089777</v>
      </c>
      <c r="O208" s="19">
        <f t="shared" si="87"/>
        <v>1.8780000000000002E-2</v>
      </c>
      <c r="P208" s="62"/>
      <c r="Q208" s="39">
        <f>G208+N208</f>
        <v>0.84233122663089777</v>
      </c>
      <c r="R208" s="5">
        <f>SUM(K208:L208)</f>
        <v>2.5667037903353447</v>
      </c>
      <c r="T208" s="5">
        <f t="shared" si="86"/>
        <v>239.67036770069046</v>
      </c>
    </row>
    <row r="209" spans="1:25" x14ac:dyDescent="0.3">
      <c r="A209" s="15">
        <f t="shared" si="84"/>
        <v>75.08197850938987</v>
      </c>
      <c r="B209" s="3">
        <v>2050</v>
      </c>
      <c r="C209" s="19">
        <f t="shared" ref="C209:O209" si="88">((C199+C195)*C19+C203*C49*1000)/1000000</f>
        <v>0</v>
      </c>
      <c r="D209" s="19">
        <f t="shared" si="88"/>
        <v>0</v>
      </c>
      <c r="E209" s="19">
        <f t="shared" si="88"/>
        <v>80.053459942638327</v>
      </c>
      <c r="F209" s="19">
        <f t="shared" si="88"/>
        <v>56.857823471812395</v>
      </c>
      <c r="G209" s="19">
        <f t="shared" si="88"/>
        <v>16.178562093862816</v>
      </c>
      <c r="H209" s="19">
        <f t="shared" si="88"/>
        <v>162.62610000000001</v>
      </c>
      <c r="I209" s="19">
        <f t="shared" si="88"/>
        <v>0</v>
      </c>
      <c r="J209" s="19">
        <f t="shared" si="88"/>
        <v>63.195999999999998</v>
      </c>
      <c r="K209" s="19">
        <f t="shared" si="88"/>
        <v>2.5033470932713588</v>
      </c>
      <c r="L209" s="19">
        <f t="shared" si="88"/>
        <v>0</v>
      </c>
      <c r="M209" s="19">
        <f t="shared" si="88"/>
        <v>0</v>
      </c>
      <c r="N209" s="19">
        <f t="shared" si="88"/>
        <v>1.6846624532617955</v>
      </c>
      <c r="O209" s="19">
        <f t="shared" si="88"/>
        <v>1.8780000000000002E-2</v>
      </c>
      <c r="P209" s="62"/>
      <c r="Q209" s="39">
        <f>G209+N209</f>
        <v>17.863224547124609</v>
      </c>
      <c r="R209" s="5">
        <f>SUM(K209:L209)</f>
        <v>2.5033470932713588</v>
      </c>
      <c r="T209" s="5">
        <f t="shared" si="86"/>
        <v>383.11873505484675</v>
      </c>
    </row>
    <row r="210" spans="1:25" x14ac:dyDescent="0.3"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69"/>
    </row>
    <row r="211" spans="1:25" ht="72" x14ac:dyDescent="0.3">
      <c r="B211" s="43" t="s">
        <v>23</v>
      </c>
      <c r="C211" s="43" t="s">
        <v>0</v>
      </c>
      <c r="D211" s="43" t="s">
        <v>1</v>
      </c>
      <c r="E211" s="43" t="s">
        <v>28</v>
      </c>
      <c r="F211" s="2" t="s">
        <v>29</v>
      </c>
      <c r="G211" s="2" t="s">
        <v>6</v>
      </c>
      <c r="H211" s="43" t="s">
        <v>2</v>
      </c>
      <c r="I211" s="43" t="s">
        <v>3</v>
      </c>
      <c r="J211" s="43" t="s">
        <v>4</v>
      </c>
      <c r="K211" s="43" t="s">
        <v>9</v>
      </c>
      <c r="L211" s="43" t="s">
        <v>8</v>
      </c>
      <c r="M211" s="43" t="s">
        <v>25</v>
      </c>
      <c r="N211" s="43" t="s">
        <v>7</v>
      </c>
      <c r="O211" s="43" t="s">
        <v>89</v>
      </c>
      <c r="P211" s="25"/>
      <c r="Q211" s="43" t="s">
        <v>5</v>
      </c>
      <c r="R211" s="43" t="s">
        <v>91</v>
      </c>
      <c r="T211" s="43" t="s">
        <v>10</v>
      </c>
      <c r="U211" s="41" t="s">
        <v>86</v>
      </c>
      <c r="V211" s="43" t="s">
        <v>92</v>
      </c>
      <c r="W211" s="43" t="s">
        <v>93</v>
      </c>
      <c r="X211" s="25" t="s">
        <v>26</v>
      </c>
      <c r="Y211" s="25" t="s">
        <v>27</v>
      </c>
    </row>
    <row r="212" spans="1:25" x14ac:dyDescent="0.3">
      <c r="B212" s="3">
        <v>2016</v>
      </c>
      <c r="C212" s="19">
        <f>C176+C186+C206</f>
        <v>99.425576517077502</v>
      </c>
      <c r="D212" s="19">
        <f t="shared" ref="D212:O215" si="89">D176+D186+D206</f>
        <v>3.0206166863931165</v>
      </c>
      <c r="E212" s="19">
        <f t="shared" si="89"/>
        <v>0.71827291818882821</v>
      </c>
      <c r="F212" s="19">
        <f t="shared" si="89"/>
        <v>5.6112431781664789</v>
      </c>
      <c r="G212" s="19">
        <f t="shared" si="89"/>
        <v>4.7397372806457199</v>
      </c>
      <c r="H212" s="19">
        <f t="shared" si="89"/>
        <v>3.7406611452973988</v>
      </c>
      <c r="I212" s="19">
        <f t="shared" si="89"/>
        <v>2.7313107545794142</v>
      </c>
      <c r="J212" s="19">
        <f t="shared" si="89"/>
        <v>4.4864465988215327</v>
      </c>
      <c r="K212" s="19">
        <f t="shared" si="89"/>
        <v>0</v>
      </c>
      <c r="L212" s="19">
        <f t="shared" si="89"/>
        <v>2.6131623050841757</v>
      </c>
      <c r="M212" s="19">
        <f t="shared" si="89"/>
        <v>0</v>
      </c>
      <c r="N212" s="19">
        <f t="shared" si="89"/>
        <v>0.46729964879989472</v>
      </c>
      <c r="O212" s="19">
        <f t="shared" si="89"/>
        <v>0</v>
      </c>
      <c r="P212" s="62"/>
      <c r="Q212" s="5">
        <f>G212+N212</f>
        <v>5.2070369294456142</v>
      </c>
      <c r="R212" s="5">
        <f>SUM(K212:L212)</f>
        <v>2.6131623050841757</v>
      </c>
      <c r="S212" s="5"/>
      <c r="T212" s="46">
        <f>SUM(C212:O212)</f>
        <v>127.55432703305404</v>
      </c>
      <c r="U212" s="39">
        <f>T212+T128*Inputs_Summary!H64/1000</f>
        <v>152.9417183439752</v>
      </c>
      <c r="V212" s="39">
        <f>T212+Inputs_Summary!$H$62*Inputs_Summary!H72/1000</f>
        <v>200.18042703305403</v>
      </c>
      <c r="W212" s="39">
        <f>V212+(U212-T212)</f>
        <v>225.5678183439752</v>
      </c>
      <c r="X212" s="75">
        <f>T212-'HC-BC'!T212</f>
        <v>-2.44606645697543</v>
      </c>
      <c r="Y212" s="76">
        <f>T212-'HC-CB'!T212</f>
        <v>0</v>
      </c>
    </row>
    <row r="213" spans="1:25" x14ac:dyDescent="0.3">
      <c r="B213" s="3">
        <v>2030</v>
      </c>
      <c r="C213" s="19">
        <f>C177+C187+C207</f>
        <v>137.55181773667454</v>
      </c>
      <c r="D213" s="19">
        <f t="shared" ref="D213:N213" si="90">D177+D187+D207</f>
        <v>2.9933056855363502</v>
      </c>
      <c r="E213" s="19">
        <f t="shared" si="90"/>
        <v>12.29088641861955</v>
      </c>
      <c r="F213" s="19">
        <f t="shared" si="90"/>
        <v>16.897555531106185</v>
      </c>
      <c r="G213" s="19">
        <f t="shared" si="90"/>
        <v>3.9144591408962106</v>
      </c>
      <c r="H213" s="19">
        <f t="shared" si="90"/>
        <v>50.355097514594576</v>
      </c>
      <c r="I213" s="19">
        <f t="shared" si="90"/>
        <v>12.414219034675924</v>
      </c>
      <c r="J213" s="19">
        <f t="shared" si="90"/>
        <v>18.429873228776533</v>
      </c>
      <c r="K213" s="19">
        <f t="shared" si="90"/>
        <v>0.30673690814790733</v>
      </c>
      <c r="L213" s="19">
        <f t="shared" si="90"/>
        <v>4.2306154608428956</v>
      </c>
      <c r="M213" s="19">
        <f t="shared" si="90"/>
        <v>0</v>
      </c>
      <c r="N213" s="19">
        <f t="shared" si="90"/>
        <v>4.6659658876029759</v>
      </c>
      <c r="O213" s="19">
        <f t="shared" si="89"/>
        <v>9.3900000000000008E-3</v>
      </c>
      <c r="P213" s="62"/>
      <c r="Q213" s="5">
        <f>G213+N213</f>
        <v>8.580425028499187</v>
      </c>
      <c r="R213" s="5">
        <f>SUM(K213:L213)</f>
        <v>4.5373523689908026</v>
      </c>
      <c r="S213" s="5"/>
      <c r="T213" s="46">
        <f t="shared" ref="T213:T215" si="91">SUM(C213:O213)</f>
        <v>264.0599225474736</v>
      </c>
      <c r="U213" s="39">
        <f>T213+T129*Inputs_Summary!H65/1000</f>
        <v>288.55109199160131</v>
      </c>
      <c r="V213" s="39">
        <f>T213+Inputs_Summary!$H$62*Inputs_Summary!H73/1000</f>
        <v>367.11832254747361</v>
      </c>
      <c r="W213" s="39">
        <f t="shared" ref="W213:W215" si="92">V213+(U213-T213)</f>
        <v>391.60949199160132</v>
      </c>
      <c r="X213" s="75">
        <f>T213-'HC-BC'!T213</f>
        <v>-17.163309607654583</v>
      </c>
      <c r="Y213" s="76">
        <f>T213-'HC-CB'!T213</f>
        <v>-36.30440745410931</v>
      </c>
    </row>
    <row r="214" spans="1:25" x14ac:dyDescent="0.3">
      <c r="B214" s="3">
        <v>2040</v>
      </c>
      <c r="C214" s="19">
        <f>C178+C188+C208</f>
        <v>93.42942898177796</v>
      </c>
      <c r="D214" s="19">
        <f t="shared" ref="D214:N214" si="93">D178+D188+D208</f>
        <v>2.8856930979006674</v>
      </c>
      <c r="E214" s="19">
        <f t="shared" si="93"/>
        <v>40.573359289302793</v>
      </c>
      <c r="F214" s="19">
        <f t="shared" si="93"/>
        <v>42.080612296467464</v>
      </c>
      <c r="G214" s="19">
        <f t="shared" si="93"/>
        <v>3.65727136908089</v>
      </c>
      <c r="H214" s="19">
        <f t="shared" si="93"/>
        <v>110.0736</v>
      </c>
      <c r="I214" s="19">
        <f t="shared" si="93"/>
        <v>12.457451544663417</v>
      </c>
      <c r="J214" s="19">
        <f t="shared" si="93"/>
        <v>49.218708899639665</v>
      </c>
      <c r="K214" s="19">
        <f t="shared" si="93"/>
        <v>2.8734886989410633</v>
      </c>
      <c r="L214" s="19">
        <f t="shared" si="93"/>
        <v>4.3120147128577431</v>
      </c>
      <c r="M214" s="19">
        <f t="shared" si="93"/>
        <v>0</v>
      </c>
      <c r="N214" s="19">
        <f t="shared" si="93"/>
        <v>4.6757567611849851</v>
      </c>
      <c r="O214" s="19">
        <f t="shared" si="89"/>
        <v>1.8780000000000002E-2</v>
      </c>
      <c r="P214" s="62"/>
      <c r="Q214" s="5">
        <f>G214+N214</f>
        <v>8.3330281302658751</v>
      </c>
      <c r="R214" s="5">
        <f>SUM(K214:L214)</f>
        <v>7.1855034117988064</v>
      </c>
      <c r="S214" s="5"/>
      <c r="T214" s="46">
        <f t="shared" si="91"/>
        <v>366.25616565181656</v>
      </c>
      <c r="U214" s="39">
        <f>T214+T130*Inputs_Summary!H66/1000</f>
        <v>379.82822100511896</v>
      </c>
      <c r="V214" s="39">
        <f>T214+Inputs_Summary!$H$62*Inputs_Summary!H74/1000</f>
        <v>494.78546565181654</v>
      </c>
      <c r="W214" s="39">
        <f t="shared" si="92"/>
        <v>508.35752100511894</v>
      </c>
      <c r="X214" s="75">
        <f>T214-'HC-BC'!T214</f>
        <v>-40.555716367176558</v>
      </c>
      <c r="Y214" s="76">
        <f>T214-'HC-CB'!T214</f>
        <v>-34.805390878968979</v>
      </c>
    </row>
    <row r="215" spans="1:25" x14ac:dyDescent="0.3">
      <c r="B215" s="3">
        <v>2050</v>
      </c>
      <c r="C215" s="19">
        <f>C179+C189+C209</f>
        <v>75.08197850938987</v>
      </c>
      <c r="D215" s="19">
        <f t="shared" ref="D215:N215" si="94">D179+D189+D209</f>
        <v>0</v>
      </c>
      <c r="E215" s="19">
        <f t="shared" si="94"/>
        <v>82.187193995753702</v>
      </c>
      <c r="F215" s="19">
        <f t="shared" si="94"/>
        <v>56.857823471812395</v>
      </c>
      <c r="G215" s="19">
        <f t="shared" si="94"/>
        <v>19.699353036632449</v>
      </c>
      <c r="H215" s="19">
        <f t="shared" si="94"/>
        <v>162.62610000000001</v>
      </c>
      <c r="I215" s="19">
        <f t="shared" si="94"/>
        <v>0</v>
      </c>
      <c r="J215" s="19">
        <f t="shared" si="94"/>
        <v>63.195999999999998</v>
      </c>
      <c r="K215" s="19">
        <f t="shared" si="94"/>
        <v>2.5033470932713588</v>
      </c>
      <c r="L215" s="19">
        <f t="shared" si="94"/>
        <v>2.6850152572136259</v>
      </c>
      <c r="M215" s="19">
        <f t="shared" si="94"/>
        <v>0</v>
      </c>
      <c r="N215" s="19">
        <f t="shared" si="94"/>
        <v>5.5141962332473948</v>
      </c>
      <c r="O215" s="19">
        <f t="shared" si="89"/>
        <v>1.8780000000000002E-2</v>
      </c>
      <c r="P215" s="62"/>
      <c r="Q215" s="5">
        <f>G215+N215</f>
        <v>25.213549269879842</v>
      </c>
      <c r="R215" s="5">
        <f>SUM(K215:L215)</f>
        <v>5.1883623504849847</v>
      </c>
      <c r="S215" s="5"/>
      <c r="T215" s="46">
        <f t="shared" si="91"/>
        <v>470.36978759732085</v>
      </c>
      <c r="U215" s="39">
        <f>T215+T131*Inputs_Summary!H67/1000</f>
        <v>480.64598711486565</v>
      </c>
      <c r="V215" s="39">
        <f>T215+Inputs_Summary!$H$62*Inputs_Summary!H75/1000</f>
        <v>626.83748759732089</v>
      </c>
      <c r="W215" s="39">
        <f t="shared" si="92"/>
        <v>637.11368711486568</v>
      </c>
      <c r="X215" s="75">
        <f>T215-'HC-BC'!T215</f>
        <v>-72.809194960584136</v>
      </c>
      <c r="Y215" s="76">
        <f>T215-'HC-CB'!T215</f>
        <v>-61.465000407269486</v>
      </c>
    </row>
    <row r="216" spans="1:25" x14ac:dyDescent="0.3">
      <c r="T216" s="104"/>
      <c r="U216" s="11"/>
    </row>
    <row r="217" spans="1:25" x14ac:dyDescent="0.3">
      <c r="B217" s="3">
        <v>2016</v>
      </c>
      <c r="C217" s="21">
        <f t="shared" ref="C217:O220" si="95">IFERROR(C212/$T212,0)</f>
        <v>0.77947631279739071</v>
      </c>
      <c r="D217" s="21">
        <f t="shared" si="95"/>
        <v>2.3681020915976948E-2</v>
      </c>
      <c r="E217" s="21">
        <f t="shared" si="95"/>
        <v>5.6311136979515968E-3</v>
      </c>
      <c r="F217" s="21">
        <f t="shared" si="95"/>
        <v>4.3991006096660276E-2</v>
      </c>
      <c r="G217" s="21">
        <f t="shared" si="95"/>
        <v>3.7158576983574054E-2</v>
      </c>
      <c r="H217" s="21">
        <f t="shared" si="95"/>
        <v>2.9326023133092578E-2</v>
      </c>
      <c r="I217" s="21">
        <f t="shared" si="95"/>
        <v>2.1412921208636308E-2</v>
      </c>
      <c r="J217" s="21">
        <f t="shared" si="95"/>
        <v>3.5172829516468919E-2</v>
      </c>
      <c r="K217" s="21">
        <f t="shared" si="95"/>
        <v>0</v>
      </c>
      <c r="L217" s="21">
        <f t="shared" si="95"/>
        <v>2.0486661376897145E-2</v>
      </c>
      <c r="M217" s="21">
        <f t="shared" si="95"/>
        <v>0</v>
      </c>
      <c r="N217" s="21">
        <f t="shared" si="95"/>
        <v>3.6635342733516217E-3</v>
      </c>
      <c r="O217" s="21">
        <f t="shared" si="95"/>
        <v>0</v>
      </c>
      <c r="P217" s="29"/>
      <c r="Q217" s="7">
        <f t="shared" ref="Q217:R220" si="96">IFERROR(Q212/$T212,0)</f>
        <v>4.0822111256925676E-2</v>
      </c>
      <c r="R217" s="7">
        <f t="shared" si="96"/>
        <v>2.0486661376897145E-2</v>
      </c>
      <c r="T217" s="8">
        <f>SUM(C217:O217)</f>
        <v>1.0000000000000002</v>
      </c>
      <c r="U217" s="11"/>
    </row>
    <row r="218" spans="1:25" x14ac:dyDescent="0.3">
      <c r="B218" s="3">
        <v>2030</v>
      </c>
      <c r="C218" s="21">
        <f t="shared" si="95"/>
        <v>0.52091137651509756</v>
      </c>
      <c r="D218" s="21">
        <f t="shared" si="95"/>
        <v>1.1335706140708283E-2</v>
      </c>
      <c r="E218" s="21">
        <f t="shared" si="95"/>
        <v>4.6545823008828049E-2</v>
      </c>
      <c r="F218" s="21">
        <f t="shared" si="95"/>
        <v>6.3991367444517389E-2</v>
      </c>
      <c r="G218" s="21">
        <f t="shared" si="95"/>
        <v>1.4824131974031219E-2</v>
      </c>
      <c r="H218" s="21">
        <f t="shared" si="95"/>
        <v>0.19069572174679997</v>
      </c>
      <c r="I218" s="21">
        <f t="shared" si="95"/>
        <v>4.7012885995390129E-2</v>
      </c>
      <c r="J218" s="21">
        <f t="shared" si="95"/>
        <v>6.9794284005605375E-2</v>
      </c>
      <c r="K218" s="21">
        <f t="shared" si="95"/>
        <v>1.1616185644103608E-3</v>
      </c>
      <c r="L218" s="21">
        <f t="shared" si="95"/>
        <v>1.6021422031896191E-2</v>
      </c>
      <c r="M218" s="21">
        <f t="shared" si="95"/>
        <v>0</v>
      </c>
      <c r="N218" s="21">
        <f t="shared" si="95"/>
        <v>1.7670102462308011E-2</v>
      </c>
      <c r="O218" s="21">
        <f t="shared" si="95"/>
        <v>3.5560110407560371E-5</v>
      </c>
      <c r="P218" s="29"/>
      <c r="Q218" s="7">
        <f t="shared" si="96"/>
        <v>3.2494234436339232E-2</v>
      </c>
      <c r="R218" s="7">
        <f t="shared" si="96"/>
        <v>1.7183040596306553E-2</v>
      </c>
      <c r="T218" s="8">
        <f t="shared" ref="T218:T220" si="97">SUM(C218:O218)</f>
        <v>1</v>
      </c>
      <c r="U218" s="11"/>
    </row>
    <row r="219" spans="1:25" x14ac:dyDescent="0.3">
      <c r="B219" s="3">
        <v>2040</v>
      </c>
      <c r="C219" s="21">
        <f t="shared" si="95"/>
        <v>0.25509312263864292</v>
      </c>
      <c r="D219" s="21">
        <f t="shared" si="95"/>
        <v>7.8788928857076706E-3</v>
      </c>
      <c r="E219" s="21">
        <f t="shared" si="95"/>
        <v>0.11077863827110035</v>
      </c>
      <c r="F219" s="21">
        <f t="shared" si="95"/>
        <v>0.1148939355644094</v>
      </c>
      <c r="G219" s="21">
        <f t="shared" si="95"/>
        <v>9.9855557723434896E-3</v>
      </c>
      <c r="H219" s="21">
        <f t="shared" si="95"/>
        <v>0.30053719315306238</v>
      </c>
      <c r="I219" s="21">
        <f t="shared" si="95"/>
        <v>3.4012946983413138E-2</v>
      </c>
      <c r="J219" s="21">
        <f t="shared" si="95"/>
        <v>0.13438329102814259</v>
      </c>
      <c r="K219" s="21">
        <f t="shared" si="95"/>
        <v>7.8455708556528746E-3</v>
      </c>
      <c r="L219" s="21">
        <f t="shared" si="95"/>
        <v>1.1773220814409398E-2</v>
      </c>
      <c r="M219" s="21">
        <f t="shared" si="95"/>
        <v>0</v>
      </c>
      <c r="N219" s="21">
        <f t="shared" si="95"/>
        <v>1.2766356445805253E-2</v>
      </c>
      <c r="O219" s="21">
        <f t="shared" si="95"/>
        <v>5.1275587310803966E-5</v>
      </c>
      <c r="P219" s="29"/>
      <c r="Q219" s="7">
        <f t="shared" si="96"/>
        <v>2.2751912218148741E-2</v>
      </c>
      <c r="R219" s="7">
        <f t="shared" si="96"/>
        <v>1.9618791670062273E-2</v>
      </c>
      <c r="T219" s="8">
        <f t="shared" si="97"/>
        <v>1.0000000000000002</v>
      </c>
      <c r="U219" s="11"/>
    </row>
    <row r="220" spans="1:25" x14ac:dyDescent="0.3">
      <c r="B220" s="3">
        <v>2050</v>
      </c>
      <c r="C220" s="21">
        <f t="shared" si="95"/>
        <v>0.1596233016854961</v>
      </c>
      <c r="D220" s="21">
        <f t="shared" si="95"/>
        <v>0</v>
      </c>
      <c r="E220" s="21">
        <f t="shared" si="95"/>
        <v>0.17472889663167182</v>
      </c>
      <c r="F220" s="21">
        <f t="shared" si="95"/>
        <v>0.12087898706727279</v>
      </c>
      <c r="G220" s="21">
        <f t="shared" si="95"/>
        <v>4.1880566218459758E-2</v>
      </c>
      <c r="H220" s="21">
        <f t="shared" si="95"/>
        <v>0.34574095592045695</v>
      </c>
      <c r="I220" s="21">
        <f t="shared" si="95"/>
        <v>0</v>
      </c>
      <c r="J220" s="21">
        <f t="shared" si="95"/>
        <v>0.13435386724731882</v>
      </c>
      <c r="K220" s="21">
        <f t="shared" si="95"/>
        <v>5.3220830913877715E-3</v>
      </c>
      <c r="L220" s="21">
        <f t="shared" si="95"/>
        <v>5.7083072255317601E-3</v>
      </c>
      <c r="M220" s="21">
        <f t="shared" si="95"/>
        <v>0</v>
      </c>
      <c r="N220" s="21">
        <f t="shared" si="95"/>
        <v>1.1723108878685138E-2</v>
      </c>
      <c r="O220" s="21">
        <f t="shared" si="95"/>
        <v>3.9926033718979808E-5</v>
      </c>
      <c r="P220" s="29"/>
      <c r="Q220" s="7">
        <f t="shared" si="96"/>
        <v>5.3603675097144893E-2</v>
      </c>
      <c r="R220" s="7">
        <f t="shared" si="96"/>
        <v>1.1030390316919532E-2</v>
      </c>
      <c r="T220" s="8">
        <f t="shared" si="97"/>
        <v>0.99999999999999978</v>
      </c>
    </row>
    <row r="222" spans="1:25" s="9" customFormat="1" ht="21" x14ac:dyDescent="0.4">
      <c r="B222" s="10" t="s">
        <v>51</v>
      </c>
    </row>
    <row r="223" spans="1:25" s="32" customFormat="1" ht="21" x14ac:dyDescent="0.4">
      <c r="B223" s="31"/>
      <c r="C223" s="40"/>
      <c r="D223" s="40"/>
      <c r="E223" s="40"/>
      <c r="P223" s="58"/>
    </row>
    <row r="224" spans="1:25" ht="28.8" x14ac:dyDescent="0.3">
      <c r="B224" s="43" t="s">
        <v>48</v>
      </c>
      <c r="C224" s="43" t="s">
        <v>0</v>
      </c>
      <c r="D224" s="43" t="s">
        <v>1</v>
      </c>
      <c r="E224" s="43" t="s">
        <v>28</v>
      </c>
      <c r="F224" s="2" t="s">
        <v>29</v>
      </c>
      <c r="G224" s="2" t="s">
        <v>6</v>
      </c>
      <c r="H224" s="43" t="s">
        <v>2</v>
      </c>
      <c r="I224" s="43" t="s">
        <v>3</v>
      </c>
      <c r="J224" s="43" t="s">
        <v>4</v>
      </c>
      <c r="K224" s="43" t="s">
        <v>9</v>
      </c>
      <c r="L224" s="43" t="s">
        <v>8</v>
      </c>
      <c r="M224" s="43" t="s">
        <v>25</v>
      </c>
      <c r="N224" s="43" t="s">
        <v>7</v>
      </c>
      <c r="O224" s="43" t="s">
        <v>89</v>
      </c>
      <c r="P224" s="25"/>
      <c r="Q224" s="43" t="s">
        <v>5</v>
      </c>
      <c r="R224" s="43" t="s">
        <v>91</v>
      </c>
      <c r="T224" s="42"/>
    </row>
    <row r="225" spans="2:20" x14ac:dyDescent="0.3">
      <c r="B225" s="3">
        <v>2016</v>
      </c>
      <c r="C225" s="48">
        <f t="shared" ref="C225:O225" si="98">IFERROR(C176/C34*1000,"")</f>
        <v>0.48989471926362094</v>
      </c>
      <c r="D225" s="48">
        <f t="shared" si="98"/>
        <v>0.20487259277908632</v>
      </c>
      <c r="E225" s="48">
        <f t="shared" si="98"/>
        <v>0.95000000000000007</v>
      </c>
      <c r="F225" s="48">
        <f t="shared" si="98"/>
        <v>2.7719237674542714</v>
      </c>
      <c r="G225" s="48">
        <f t="shared" si="98"/>
        <v>0.30000000000000004</v>
      </c>
      <c r="H225" s="48">
        <f t="shared" si="98"/>
        <v>0.93</v>
      </c>
      <c r="I225" s="48">
        <f t="shared" si="98"/>
        <v>3.2999999999999994</v>
      </c>
      <c r="J225" s="48">
        <f t="shared" si="98"/>
        <v>1.6999999999999997</v>
      </c>
      <c r="K225" s="48" t="str">
        <f t="shared" si="98"/>
        <v/>
      </c>
      <c r="L225" s="48">
        <f t="shared" si="98"/>
        <v>1.6499999999999997</v>
      </c>
      <c r="M225" s="48" t="str">
        <f t="shared" si="98"/>
        <v/>
      </c>
      <c r="N225" s="48">
        <f t="shared" si="98"/>
        <v>0.15605822366857675</v>
      </c>
      <c r="O225" s="48" t="str">
        <f t="shared" si="98"/>
        <v/>
      </c>
      <c r="P225" s="53"/>
      <c r="T225" s="42">
        <f>IFERROR(T176/Inputs_Summary!H72*1000,"")</f>
        <v>0.51041383896307546</v>
      </c>
    </row>
    <row r="226" spans="2:20" x14ac:dyDescent="0.3">
      <c r="B226" s="3">
        <v>2030</v>
      </c>
      <c r="C226" s="48">
        <f t="shared" ref="C226:O226" si="99">IFERROR(C177/C35*1000,"")</f>
        <v>0.48916587708971593</v>
      </c>
      <c r="D226" s="48">
        <f t="shared" si="99"/>
        <v>0.20612770599894656</v>
      </c>
      <c r="E226" s="48">
        <f t="shared" si="99"/>
        <v>0.94999999999999973</v>
      </c>
      <c r="F226" s="48">
        <f t="shared" si="99"/>
        <v>5.6133830622283707</v>
      </c>
      <c r="G226" s="48">
        <f t="shared" si="99"/>
        <v>0.3</v>
      </c>
      <c r="H226" s="48">
        <f t="shared" si="99"/>
        <v>0.92999999999999994</v>
      </c>
      <c r="I226" s="48">
        <f t="shared" si="99"/>
        <v>3.3</v>
      </c>
      <c r="J226" s="48">
        <f t="shared" si="99"/>
        <v>1.7</v>
      </c>
      <c r="K226" s="48" t="str">
        <f t="shared" si="99"/>
        <v/>
      </c>
      <c r="L226" s="48">
        <f t="shared" si="99"/>
        <v>1.65</v>
      </c>
      <c r="M226" s="48" t="str">
        <f t="shared" si="99"/>
        <v/>
      </c>
      <c r="N226" s="48">
        <f t="shared" si="99"/>
        <v>0.16613419525288772</v>
      </c>
      <c r="O226" s="48" t="str">
        <f t="shared" si="99"/>
        <v/>
      </c>
      <c r="P226" s="53"/>
      <c r="T226" s="42">
        <f>IFERROR(T177/T35*1000,"")</f>
        <v>0.51162839075111488</v>
      </c>
    </row>
    <row r="227" spans="2:20" x14ac:dyDescent="0.3">
      <c r="B227" s="3">
        <v>2040</v>
      </c>
      <c r="C227" s="48">
        <f t="shared" ref="C227:O227" si="100">IFERROR(C178/C36*1000,"")</f>
        <v>0.53282184350914363</v>
      </c>
      <c r="D227" s="48">
        <f t="shared" si="100"/>
        <v>0.2114711479802833</v>
      </c>
      <c r="E227" s="48">
        <f t="shared" si="100"/>
        <v>0.95000000000000007</v>
      </c>
      <c r="F227" s="48">
        <f t="shared" si="100"/>
        <v>4.5394889980853899</v>
      </c>
      <c r="G227" s="48">
        <f t="shared" si="100"/>
        <v>0.30000000000000004</v>
      </c>
      <c r="H227" s="48" t="str">
        <f t="shared" si="100"/>
        <v/>
      </c>
      <c r="I227" s="48">
        <f t="shared" si="100"/>
        <v>3.3</v>
      </c>
      <c r="J227" s="48">
        <f t="shared" si="100"/>
        <v>1.7</v>
      </c>
      <c r="K227" s="48" t="str">
        <f t="shared" si="100"/>
        <v/>
      </c>
      <c r="L227" s="48">
        <f t="shared" si="100"/>
        <v>1.65</v>
      </c>
      <c r="M227" s="48" t="str">
        <f t="shared" si="100"/>
        <v/>
      </c>
      <c r="N227" s="48">
        <f t="shared" si="100"/>
        <v>0.15837381885023702</v>
      </c>
      <c r="O227" s="48" t="str">
        <f t="shared" si="100"/>
        <v/>
      </c>
      <c r="P227" s="53"/>
      <c r="T227" s="42">
        <f>IFERROR(T178/T36*1000,"")</f>
        <v>0.5059250111826693</v>
      </c>
    </row>
    <row r="228" spans="2:20" x14ac:dyDescent="0.3">
      <c r="B228" s="3">
        <v>2050</v>
      </c>
      <c r="C228" s="48" t="str">
        <f t="shared" ref="C228:O228" si="101">IFERROR(C179/C37*1000,"")</f>
        <v/>
      </c>
      <c r="D228" s="48" t="str">
        <f t="shared" si="101"/>
        <v/>
      </c>
      <c r="E228" s="48">
        <f t="shared" si="101"/>
        <v>0.94999999999999984</v>
      </c>
      <c r="F228" s="48" t="str">
        <f t="shared" si="101"/>
        <v/>
      </c>
      <c r="G228" s="48">
        <f t="shared" si="101"/>
        <v>0.30000000000000004</v>
      </c>
      <c r="H228" s="48" t="str">
        <f t="shared" si="101"/>
        <v/>
      </c>
      <c r="I228" s="48" t="str">
        <f t="shared" si="101"/>
        <v/>
      </c>
      <c r="J228" s="48" t="str">
        <f t="shared" si="101"/>
        <v/>
      </c>
      <c r="K228" s="48" t="str">
        <f t="shared" si="101"/>
        <v/>
      </c>
      <c r="L228" s="48">
        <f t="shared" si="101"/>
        <v>1.6499999999999997</v>
      </c>
      <c r="M228" s="48" t="str">
        <f t="shared" si="101"/>
        <v/>
      </c>
      <c r="N228" s="48">
        <f t="shared" si="101"/>
        <v>0.16133089405091353</v>
      </c>
      <c r="O228" s="48" t="str">
        <f t="shared" si="101"/>
        <v/>
      </c>
      <c r="P228" s="53"/>
      <c r="T228" s="42">
        <f>IFERROR(T179/T37*1000,"")</f>
        <v>0.53031796953035071</v>
      </c>
    </row>
    <row r="229" spans="2:20" x14ac:dyDescent="0.3">
      <c r="B229" s="41"/>
    </row>
    <row r="230" spans="2:20" ht="28.8" x14ac:dyDescent="0.3">
      <c r="B230" s="43" t="s">
        <v>47</v>
      </c>
    </row>
    <row r="231" spans="2:20" x14ac:dyDescent="0.3">
      <c r="B231" s="3">
        <v>2016</v>
      </c>
      <c r="C231" s="48" t="str">
        <f t="shared" ref="C231:O231" si="102">IFERROR(C186/C40*1000,"")</f>
        <v/>
      </c>
      <c r="D231" s="48" t="str">
        <f t="shared" si="102"/>
        <v/>
      </c>
      <c r="E231" s="48" t="str">
        <f t="shared" si="102"/>
        <v/>
      </c>
      <c r="F231" s="48" t="str">
        <f t="shared" si="102"/>
        <v/>
      </c>
      <c r="G231" s="48" t="str">
        <f t="shared" si="102"/>
        <v/>
      </c>
      <c r="H231" s="48" t="str">
        <f t="shared" si="102"/>
        <v/>
      </c>
      <c r="I231" s="48" t="str">
        <f t="shared" si="102"/>
        <v/>
      </c>
      <c r="J231" s="48" t="str">
        <f t="shared" si="102"/>
        <v/>
      </c>
      <c r="K231" s="48" t="str">
        <f t="shared" si="102"/>
        <v/>
      </c>
      <c r="L231" s="48" t="str">
        <f t="shared" si="102"/>
        <v/>
      </c>
      <c r="M231" s="48" t="str">
        <f t="shared" si="102"/>
        <v/>
      </c>
      <c r="N231" s="48" t="str">
        <f t="shared" si="102"/>
        <v/>
      </c>
      <c r="O231" s="48" t="str">
        <f t="shared" si="102"/>
        <v/>
      </c>
      <c r="P231" s="53"/>
      <c r="T231" s="42">
        <f>IFERROR(T186/Inputs_Summary!H72*1000,"")</f>
        <v>1.6480736264235584E-2</v>
      </c>
    </row>
    <row r="232" spans="2:20" x14ac:dyDescent="0.3">
      <c r="B232" s="3">
        <v>2030</v>
      </c>
      <c r="C232" s="48">
        <f t="shared" ref="C232:O232" si="103">IFERROR(C187/C41*1000,"")</f>
        <v>1.1671611097670498</v>
      </c>
      <c r="D232" s="48" t="str">
        <f t="shared" si="103"/>
        <v/>
      </c>
      <c r="E232" s="48" t="str">
        <f t="shared" si="103"/>
        <v/>
      </c>
      <c r="F232" s="48" t="str">
        <f t="shared" si="103"/>
        <v/>
      </c>
      <c r="G232" s="48">
        <f t="shared" si="103"/>
        <v>1.2400000000000002</v>
      </c>
      <c r="H232" s="48">
        <f t="shared" si="103"/>
        <v>0.70507456548359615</v>
      </c>
      <c r="I232" s="48">
        <f t="shared" si="103"/>
        <v>2.2907692307692309</v>
      </c>
      <c r="J232" s="48">
        <f t="shared" si="103"/>
        <v>0.79657730380457303</v>
      </c>
      <c r="K232" s="48">
        <f t="shared" si="103"/>
        <v>0.86167678632023426</v>
      </c>
      <c r="L232" s="48">
        <f t="shared" si="103"/>
        <v>1.61</v>
      </c>
      <c r="M232" s="48" t="str">
        <f t="shared" si="103"/>
        <v/>
      </c>
      <c r="N232" s="48">
        <f t="shared" si="103"/>
        <v>1.1066297499523656</v>
      </c>
      <c r="O232" s="48" t="str">
        <f t="shared" si="103"/>
        <v/>
      </c>
      <c r="P232" s="53"/>
      <c r="T232" s="42">
        <f>IFERROR(T187/Inputs_Summary!H73*1000,"")</f>
        <v>0.29043172567541886</v>
      </c>
    </row>
    <row r="233" spans="2:20" x14ac:dyDescent="0.3">
      <c r="B233" s="3">
        <v>2040</v>
      </c>
      <c r="C233" s="52">
        <f t="shared" ref="C233:O233" si="104">IFERROR(C188/C42*1000,"")</f>
        <v>1.2177968734936075</v>
      </c>
      <c r="D233" s="52" t="str">
        <f t="shared" si="104"/>
        <v/>
      </c>
      <c r="E233" s="52" t="str">
        <f t="shared" si="104"/>
        <v/>
      </c>
      <c r="F233" s="52" t="str">
        <f t="shared" si="104"/>
        <v/>
      </c>
      <c r="G233" s="52">
        <f t="shared" si="104"/>
        <v>1.24</v>
      </c>
      <c r="H233" s="52" t="str">
        <f t="shared" si="104"/>
        <v/>
      </c>
      <c r="I233" s="52">
        <f t="shared" si="104"/>
        <v>2.2907692307692309</v>
      </c>
      <c r="J233" s="52">
        <f t="shared" si="104"/>
        <v>0.79657730380457292</v>
      </c>
      <c r="K233" s="52">
        <f t="shared" si="104"/>
        <v>0.86052235932609922</v>
      </c>
      <c r="L233" s="52">
        <f t="shared" si="104"/>
        <v>1.61</v>
      </c>
      <c r="M233" s="52" t="str">
        <f t="shared" si="104"/>
        <v/>
      </c>
      <c r="N233" s="52">
        <f t="shared" si="104"/>
        <v>1.0380733951479109</v>
      </c>
      <c r="O233" s="52" t="str">
        <f t="shared" si="104"/>
        <v/>
      </c>
      <c r="P233" s="53"/>
      <c r="T233" s="42">
        <f>IFERROR(T188/Inputs_Summary!H74*1000,"")</f>
        <v>0.21496228694490538</v>
      </c>
    </row>
    <row r="234" spans="2:20" x14ac:dyDescent="0.3">
      <c r="B234" s="3">
        <v>2050</v>
      </c>
      <c r="C234" s="55">
        <f t="shared" ref="C234:O234" si="105">IFERROR(C189/C43*1000,"")</f>
        <v>1.244717864025821</v>
      </c>
      <c r="D234" s="55" t="str">
        <f t="shared" si="105"/>
        <v/>
      </c>
      <c r="E234" s="55" t="str">
        <f t="shared" si="105"/>
        <v/>
      </c>
      <c r="F234" s="55" t="str">
        <f t="shared" si="105"/>
        <v/>
      </c>
      <c r="G234" s="55">
        <f t="shared" si="105"/>
        <v>1.24</v>
      </c>
      <c r="H234" s="55" t="str">
        <f t="shared" si="105"/>
        <v/>
      </c>
      <c r="I234" s="55" t="str">
        <f t="shared" si="105"/>
        <v/>
      </c>
      <c r="J234" s="55" t="str">
        <f t="shared" si="105"/>
        <v/>
      </c>
      <c r="K234" s="55" t="str">
        <f t="shared" si="105"/>
        <v/>
      </c>
      <c r="L234" s="55" t="str">
        <f t="shared" si="105"/>
        <v/>
      </c>
      <c r="M234" s="55" t="str">
        <f t="shared" si="105"/>
        <v/>
      </c>
      <c r="N234" s="55">
        <f t="shared" si="105"/>
        <v>1.0801848045975786</v>
      </c>
      <c r="O234" s="55" t="str">
        <f t="shared" si="105"/>
        <v/>
      </c>
      <c r="P234" s="53"/>
      <c r="T234" s="42">
        <f>IFERROR(T189/Inputs_Summary!H75*1000,"")</f>
        <v>0.14935106134154727</v>
      </c>
    </row>
    <row r="235" spans="2:20" s="11" customFormat="1" x14ac:dyDescent="0.3"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T235" s="54"/>
    </row>
    <row r="236" spans="2:20" ht="28.8" x14ac:dyDescent="0.3">
      <c r="B236" s="43" t="s">
        <v>49</v>
      </c>
      <c r="T236" s="42"/>
    </row>
    <row r="237" spans="2:20" x14ac:dyDescent="0.3">
      <c r="B237" s="3">
        <v>2016</v>
      </c>
      <c r="C237" s="48" t="str">
        <f t="shared" ref="C237:O237" si="106">IFERROR(C206/C46*1000,"")</f>
        <v/>
      </c>
      <c r="D237" s="48" t="str">
        <f t="shared" si="106"/>
        <v/>
      </c>
      <c r="E237" s="48" t="str">
        <f t="shared" si="106"/>
        <v/>
      </c>
      <c r="F237" s="48" t="str">
        <f t="shared" si="106"/>
        <v/>
      </c>
      <c r="G237" s="48" t="str">
        <f t="shared" si="106"/>
        <v/>
      </c>
      <c r="H237" s="48" t="str">
        <f t="shared" si="106"/>
        <v/>
      </c>
      <c r="I237" s="48" t="str">
        <f t="shared" si="106"/>
        <v/>
      </c>
      <c r="J237" s="48" t="str">
        <f t="shared" si="106"/>
        <v/>
      </c>
      <c r="K237" s="48" t="str">
        <f t="shared" si="106"/>
        <v/>
      </c>
      <c r="L237" s="48" t="str">
        <f t="shared" si="106"/>
        <v/>
      </c>
      <c r="M237" s="48" t="str">
        <f t="shared" si="106"/>
        <v/>
      </c>
      <c r="N237" s="48" t="str">
        <f t="shared" si="106"/>
        <v/>
      </c>
      <c r="O237" s="48" t="str">
        <f t="shared" si="106"/>
        <v/>
      </c>
      <c r="P237" s="53"/>
      <c r="T237" s="42">
        <f>IFERROR(T206/Inputs_Summary!H72*1000,"")</f>
        <v>0</v>
      </c>
    </row>
    <row r="238" spans="2:20" x14ac:dyDescent="0.3">
      <c r="B238" s="3">
        <v>2030</v>
      </c>
      <c r="C238" s="48" t="str">
        <f t="shared" ref="C238:O238" si="107">IFERROR(C207/C47*1000,"")</f>
        <v/>
      </c>
      <c r="D238" s="48" t="str">
        <f t="shared" si="107"/>
        <v/>
      </c>
      <c r="E238" s="48">
        <f t="shared" si="107"/>
        <v>1.631108855799948</v>
      </c>
      <c r="F238" s="48">
        <f t="shared" si="107"/>
        <v>4.3118148025978433</v>
      </c>
      <c r="G238" s="48" t="str">
        <f t="shared" si="107"/>
        <v/>
      </c>
      <c r="H238" s="48">
        <f t="shared" si="107"/>
        <v>0.59770419067994751</v>
      </c>
      <c r="I238" s="48" t="str">
        <f t="shared" si="107"/>
        <v/>
      </c>
      <c r="J238" s="48">
        <f t="shared" si="107"/>
        <v>0.54490519354160682</v>
      </c>
      <c r="K238" s="48" t="str">
        <f t="shared" si="107"/>
        <v/>
      </c>
      <c r="L238" s="48" t="str">
        <f t="shared" si="107"/>
        <v/>
      </c>
      <c r="M238" s="48" t="str">
        <f t="shared" si="107"/>
        <v/>
      </c>
      <c r="N238" s="48" t="str">
        <f t="shared" si="107"/>
        <v/>
      </c>
      <c r="O238" s="48" t="str">
        <f t="shared" si="107"/>
        <v/>
      </c>
      <c r="P238" s="53"/>
      <c r="T238" s="42">
        <f>IFERROR(T207/Inputs_Summary!H73*1000,"")</f>
        <v>0.23072312004094153</v>
      </c>
    </row>
    <row r="239" spans="2:20" x14ac:dyDescent="0.3">
      <c r="B239" s="3">
        <v>2040</v>
      </c>
      <c r="C239" s="48" t="str">
        <f t="shared" ref="C239:O239" si="108">IFERROR(C208/C48*1000,"")</f>
        <v/>
      </c>
      <c r="D239" s="48" t="str">
        <f t="shared" si="108"/>
        <v/>
      </c>
      <c r="E239" s="48">
        <f t="shared" si="108"/>
        <v>1.5367382486685377</v>
      </c>
      <c r="F239" s="48">
        <f t="shared" si="108"/>
        <v>4.2758078190592421</v>
      </c>
      <c r="G239" s="48" t="str">
        <f t="shared" si="108"/>
        <v/>
      </c>
      <c r="H239" s="48">
        <f t="shared" si="108"/>
        <v>0.62570560291174948</v>
      </c>
      <c r="I239" s="48" t="str">
        <f t="shared" si="108"/>
        <v/>
      </c>
      <c r="J239" s="48">
        <f t="shared" si="108"/>
        <v>0.55343559255088992</v>
      </c>
      <c r="K239" s="48">
        <f t="shared" si="108"/>
        <v>1.6959733359600841</v>
      </c>
      <c r="L239" s="48" t="str">
        <f t="shared" si="108"/>
        <v/>
      </c>
      <c r="M239" s="48" t="str">
        <f t="shared" si="108"/>
        <v/>
      </c>
      <c r="N239" s="48" t="str">
        <f t="shared" si="108"/>
        <v/>
      </c>
      <c r="O239" s="48" t="str">
        <f t="shared" si="108"/>
        <v/>
      </c>
      <c r="P239" s="53"/>
      <c r="T239" s="42">
        <f>IFERROR(T208/Inputs_Summary!H74*1000,"")</f>
        <v>0.55941415934115524</v>
      </c>
    </row>
    <row r="240" spans="2:20" x14ac:dyDescent="0.3">
      <c r="B240" s="3">
        <v>2050</v>
      </c>
      <c r="C240" s="48" t="str">
        <f t="shared" ref="C240:O240" si="109">IFERROR(C209/C49*1000,"")</f>
        <v/>
      </c>
      <c r="D240" s="48" t="str">
        <f t="shared" si="109"/>
        <v/>
      </c>
      <c r="E240" s="48">
        <f t="shared" si="109"/>
        <v>1.5152394342669551</v>
      </c>
      <c r="F240" s="48">
        <f t="shared" si="109"/>
        <v>4.5374515569850979</v>
      </c>
      <c r="G240" s="48">
        <f t="shared" si="109"/>
        <v>1.0375525740937972</v>
      </c>
      <c r="H240" s="48">
        <f t="shared" si="109"/>
        <v>0.63286248889848917</v>
      </c>
      <c r="I240" s="48" t="str">
        <f t="shared" si="109"/>
        <v/>
      </c>
      <c r="J240" s="48">
        <f t="shared" si="109"/>
        <v>0.57796449031328379</v>
      </c>
      <c r="K240" s="48">
        <f t="shared" si="109"/>
        <v>1.7371745818578335</v>
      </c>
      <c r="L240" s="48" t="str">
        <f t="shared" si="109"/>
        <v/>
      </c>
      <c r="M240" s="48" t="str">
        <f t="shared" si="109"/>
        <v/>
      </c>
      <c r="N240" s="48" t="str">
        <f t="shared" si="109"/>
        <v/>
      </c>
      <c r="O240" s="48" t="str">
        <f t="shared" si="109"/>
        <v/>
      </c>
      <c r="P240" s="53"/>
      <c r="T240" s="42">
        <f>IFERROR(T209/Inputs_Summary!H75*1000,"")</f>
        <v>0.73456451725470517</v>
      </c>
    </row>
    <row r="241" spans="2:25" x14ac:dyDescent="0.3">
      <c r="B241" s="41"/>
    </row>
    <row r="242" spans="2:25" ht="28.8" x14ac:dyDescent="0.3">
      <c r="B242" s="43" t="s">
        <v>50</v>
      </c>
      <c r="T242" s="43" t="s">
        <v>75</v>
      </c>
      <c r="U242" s="43" t="s">
        <v>73</v>
      </c>
      <c r="V242" s="43" t="s">
        <v>74</v>
      </c>
    </row>
    <row r="243" spans="2:25" x14ac:dyDescent="0.3">
      <c r="B243" s="3">
        <v>2016</v>
      </c>
      <c r="C243" s="48">
        <f t="shared" ref="C243:O243" si="110">IFERROR(C212/C52*1000,"")</f>
        <v>0.51037516938143923</v>
      </c>
      <c r="D243" s="48">
        <f t="shared" si="110"/>
        <v>0.20487259277908632</v>
      </c>
      <c r="E243" s="48">
        <f t="shared" si="110"/>
        <v>0.95000000000000007</v>
      </c>
      <c r="F243" s="48">
        <f t="shared" si="110"/>
        <v>2.7719237674542714</v>
      </c>
      <c r="G243" s="48">
        <f t="shared" si="110"/>
        <v>0.30000000000000004</v>
      </c>
      <c r="H243" s="48">
        <f t="shared" si="110"/>
        <v>0.93</v>
      </c>
      <c r="I243" s="48">
        <f t="shared" si="110"/>
        <v>3.2999999999999994</v>
      </c>
      <c r="J243" s="48">
        <f t="shared" si="110"/>
        <v>1.6999999999999997</v>
      </c>
      <c r="K243" s="48" t="str">
        <f t="shared" si="110"/>
        <v/>
      </c>
      <c r="L243" s="48">
        <f t="shared" si="110"/>
        <v>1.6499999999999997</v>
      </c>
      <c r="M243" s="48" t="str">
        <f t="shared" si="110"/>
        <v/>
      </c>
      <c r="N243" s="48">
        <f t="shared" si="110"/>
        <v>0.15605822366857675</v>
      </c>
      <c r="O243" s="48" t="str">
        <f t="shared" si="110"/>
        <v/>
      </c>
      <c r="P243" s="53"/>
      <c r="T243" s="47">
        <f>IFERROR(T212/Inputs_Summary!H72*1000,"")</f>
        <v>0.52689457522731098</v>
      </c>
      <c r="U243" s="42">
        <f>T243+Inputs_Summary!$H$62</f>
        <v>0.82689457522731091</v>
      </c>
      <c r="V243" s="42">
        <f>U243+Inputs_Summary!H64*T128/T52</f>
        <v>0.93258760396588514</v>
      </c>
    </row>
    <row r="244" spans="2:25" x14ac:dyDescent="0.3">
      <c r="B244" s="3">
        <v>2030</v>
      </c>
      <c r="C244" s="48">
        <f t="shared" ref="C244:O244" si="111">IFERROR(C213/C53*1000,"")</f>
        <v>0.72198104644889816</v>
      </c>
      <c r="D244" s="48">
        <f t="shared" si="111"/>
        <v>0.20612770599894656</v>
      </c>
      <c r="E244" s="48">
        <f t="shared" si="111"/>
        <v>1.4526821477043135</v>
      </c>
      <c r="F244" s="48">
        <f t="shared" si="111"/>
        <v>4.3653180037842372</v>
      </c>
      <c r="G244" s="48">
        <f t="shared" si="111"/>
        <v>0.31472363457438085</v>
      </c>
      <c r="H244" s="48">
        <f t="shared" si="111"/>
        <v>0.62703304054316278</v>
      </c>
      <c r="I244" s="48">
        <f t="shared" si="111"/>
        <v>2.4587704739704743</v>
      </c>
      <c r="J244" s="48">
        <f t="shared" si="111"/>
        <v>0.67832968284934714</v>
      </c>
      <c r="K244" s="48">
        <f t="shared" si="111"/>
        <v>0.86167678632023426</v>
      </c>
      <c r="L244" s="48">
        <f t="shared" si="111"/>
        <v>1.6342395587076439</v>
      </c>
      <c r="M244" s="48" t="str">
        <f t="shared" si="111"/>
        <v/>
      </c>
      <c r="N244" s="48">
        <f t="shared" si="111"/>
        <v>0.80736287186423505</v>
      </c>
      <c r="O244" s="48" t="str">
        <f t="shared" si="111"/>
        <v/>
      </c>
      <c r="P244" s="53"/>
      <c r="T244" s="47">
        <f>IFERROR(T213/Inputs_Summary!H73*1000,"")</f>
        <v>0.76867074167891292</v>
      </c>
      <c r="U244" s="42">
        <f>T244+Inputs_Summary!$H$62</f>
        <v>1.068670741678913</v>
      </c>
      <c r="V244" s="42">
        <f>U244+Inputs_Summary!H65*T129/T53</f>
        <v>1.1384341479350786</v>
      </c>
    </row>
    <row r="245" spans="2:25" x14ac:dyDescent="0.3">
      <c r="B245" s="3">
        <v>2040</v>
      </c>
      <c r="C245" s="48">
        <f t="shared" ref="C245:O245" si="112">IFERROR(C214/C54*1000,"")</f>
        <v>0.97101254747640997</v>
      </c>
      <c r="D245" s="48">
        <f t="shared" si="112"/>
        <v>0.2114711479802833</v>
      </c>
      <c r="E245" s="48">
        <f t="shared" si="112"/>
        <v>1.4884684734308395</v>
      </c>
      <c r="F245" s="48">
        <f t="shared" si="112"/>
        <v>4.2779344972770135</v>
      </c>
      <c r="G245" s="48">
        <f t="shared" si="112"/>
        <v>0.31607186252386738</v>
      </c>
      <c r="H245" s="48">
        <f t="shared" si="112"/>
        <v>0.62570560291174948</v>
      </c>
      <c r="I245" s="48">
        <f t="shared" si="112"/>
        <v>2.4588076541892199</v>
      </c>
      <c r="J245" s="48">
        <f t="shared" si="112"/>
        <v>0.57045020836297888</v>
      </c>
      <c r="K245" s="48">
        <f t="shared" si="112"/>
        <v>1.5366902550228851</v>
      </c>
      <c r="L245" s="48">
        <f t="shared" si="112"/>
        <v>1.634468976018272</v>
      </c>
      <c r="M245" s="48" t="str">
        <f t="shared" si="112"/>
        <v/>
      </c>
      <c r="N245" s="48">
        <f t="shared" si="112"/>
        <v>0.75706525525244761</v>
      </c>
      <c r="O245" s="48" t="str">
        <f t="shared" si="112"/>
        <v/>
      </c>
      <c r="P245" s="53"/>
      <c r="T245" s="47">
        <f>IFERROR(T214/Inputs_Summary!H74*1000,"")</f>
        <v>0.85487783482478286</v>
      </c>
      <c r="U245" s="42">
        <f>T245+Inputs_Summary!$H$62</f>
        <v>1.1548778348247828</v>
      </c>
      <c r="V245" s="42">
        <f>U245+Inputs_Summary!H66*T130/T54</f>
        <v>1.18597211047864</v>
      </c>
    </row>
    <row r="246" spans="2:25" x14ac:dyDescent="0.3">
      <c r="B246" s="3">
        <v>2050</v>
      </c>
      <c r="C246" s="48">
        <f t="shared" ref="C246:O246" si="113">IFERROR(C215/C55*1000,"")</f>
        <v>1.2581568978733275</v>
      </c>
      <c r="D246" s="48" t="str">
        <f t="shared" si="113"/>
        <v/>
      </c>
      <c r="E246" s="48">
        <f t="shared" si="113"/>
        <v>1.4921895380819774</v>
      </c>
      <c r="F246" s="48">
        <f t="shared" si="113"/>
        <v>4.5374515569850979</v>
      </c>
      <c r="G246" s="48">
        <f t="shared" si="113"/>
        <v>0.73760547728023329</v>
      </c>
      <c r="H246" s="48">
        <f t="shared" si="113"/>
        <v>0.63286248889848917</v>
      </c>
      <c r="I246" s="48" t="str">
        <f t="shared" si="113"/>
        <v/>
      </c>
      <c r="J246" s="48">
        <f t="shared" si="113"/>
        <v>0.57796449031328379</v>
      </c>
      <c r="K246" s="48">
        <f t="shared" si="113"/>
        <v>1.7371745818578335</v>
      </c>
      <c r="L246" s="48">
        <f t="shared" si="113"/>
        <v>1.6499999999999997</v>
      </c>
      <c r="M246" s="48" t="str">
        <f t="shared" si="113"/>
        <v/>
      </c>
      <c r="N246" s="48">
        <f t="shared" si="113"/>
        <v>0.92337425616258983</v>
      </c>
      <c r="O246" s="48" t="str">
        <f t="shared" si="113"/>
        <v/>
      </c>
      <c r="P246" s="53"/>
      <c r="T246" s="47">
        <f>IFERROR(T215/Inputs_Summary!H75*1000,"")</f>
        <v>0.90185345780117077</v>
      </c>
      <c r="U246" s="42">
        <f>T246+Inputs_Summary!$H$62</f>
        <v>1.2018534578011708</v>
      </c>
      <c r="V246" s="42">
        <f>U246+Inputs_Summary!H67*T131/T55</f>
        <v>1.221266544078345</v>
      </c>
    </row>
    <row r="247" spans="2:25" s="58" customFormat="1" ht="21" x14ac:dyDescent="0.4">
      <c r="B247" s="59"/>
      <c r="O247" s="3"/>
      <c r="P247" s="11"/>
      <c r="Q247" s="3"/>
      <c r="R247" s="3"/>
    </row>
    <row r="248" spans="2:25" s="9" customFormat="1" ht="21" x14ac:dyDescent="0.4">
      <c r="B248" s="10" t="s">
        <v>131</v>
      </c>
      <c r="Y248" s="86"/>
    </row>
    <row r="249" spans="2:25" x14ac:dyDescent="0.3">
      <c r="Y249" s="12"/>
    </row>
    <row r="250" spans="2:25" ht="28.8" x14ac:dyDescent="0.3">
      <c r="B250" s="43" t="s">
        <v>124</v>
      </c>
      <c r="C250" s="43" t="s">
        <v>0</v>
      </c>
      <c r="D250" s="43" t="s">
        <v>1</v>
      </c>
      <c r="E250" s="43" t="s">
        <v>28</v>
      </c>
      <c r="F250" s="2" t="s">
        <v>29</v>
      </c>
      <c r="G250" s="2" t="s">
        <v>6</v>
      </c>
      <c r="H250" s="43" t="s">
        <v>2</v>
      </c>
      <c r="I250" s="43" t="s">
        <v>3</v>
      </c>
      <c r="J250" s="43" t="s">
        <v>4</v>
      </c>
      <c r="K250" s="43" t="s">
        <v>9</v>
      </c>
      <c r="L250" s="43" t="s">
        <v>8</v>
      </c>
      <c r="M250" s="43" t="s">
        <v>25</v>
      </c>
      <c r="N250" s="43" t="s">
        <v>7</v>
      </c>
      <c r="O250" s="43" t="s">
        <v>89</v>
      </c>
      <c r="P250" s="25"/>
      <c r="Q250" s="43" t="s">
        <v>5</v>
      </c>
      <c r="R250" s="43" t="s">
        <v>91</v>
      </c>
      <c r="T250" s="43" t="s">
        <v>10</v>
      </c>
      <c r="Y250" s="12"/>
    </row>
    <row r="251" spans="2:25" x14ac:dyDescent="0.3">
      <c r="B251" s="3">
        <v>2016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3"/>
      <c r="Q251" s="5">
        <f>G251+N251</f>
        <v>0</v>
      </c>
      <c r="R251" s="5">
        <f>SUM(K251:L251)</f>
        <v>0</v>
      </c>
      <c r="T251" s="5">
        <f>SUM(C251:O251)</f>
        <v>0</v>
      </c>
      <c r="Y251" s="12"/>
    </row>
    <row r="252" spans="2:25" x14ac:dyDescent="0.3">
      <c r="B252" s="3">
        <v>2030</v>
      </c>
      <c r="C252" s="50">
        <f>Inputs_Summary!E$53*((C11+C17))/14/1000</f>
        <v>17416.822857142859</v>
      </c>
      <c r="D252" s="50">
        <f>Inputs_Summary!F$53*((D11+D17))/14/1000</f>
        <v>0</v>
      </c>
      <c r="E252" s="50">
        <f>Inputs_Summary!G$53*((E11+E17))/14/1000</f>
        <v>978.78857142857146</v>
      </c>
      <c r="F252" s="50">
        <f>Inputs_Summary!H$53*((F11+F17))/14/1000</f>
        <v>3353.5542857142859</v>
      </c>
      <c r="G252" s="50">
        <f>Inputs_Summary!I$53*((G11+G17))/14/1000</f>
        <v>0</v>
      </c>
      <c r="H252" s="50">
        <f>Inputs_Summary!J$53*((H11+H17))/14/1000</f>
        <v>10880</v>
      </c>
      <c r="I252" s="50">
        <f>Inputs_Summary!K$53*((I11+I17))/14/1000</f>
        <v>1578.5714285714287</v>
      </c>
      <c r="J252" s="50">
        <f>Inputs_Summary!L$53*((J11+J17))/14/1000</f>
        <v>8615.36</v>
      </c>
      <c r="K252" s="50">
        <f>Inputs_Summary!M$53*((K11+K17))/14/1000</f>
        <v>0</v>
      </c>
      <c r="L252" s="50">
        <f>Inputs_Summary!N$53*((L11+L17))/14/1000</f>
        <v>0</v>
      </c>
      <c r="M252" s="50">
        <f>Inputs_Summary!O$53*((M11+M17))/14/1000</f>
        <v>0</v>
      </c>
      <c r="N252" s="50">
        <f>Inputs_Summary!P$53*((N11+N17))/14/1000</f>
        <v>0</v>
      </c>
      <c r="O252" s="50">
        <f>Inputs_Summary!Q$53*((O11+O17))/14/1000</f>
        <v>0</v>
      </c>
      <c r="P252" s="53"/>
      <c r="Q252" s="5">
        <f>G252+N252</f>
        <v>0</v>
      </c>
      <c r="R252" s="5">
        <f>SUM(K252:L252)</f>
        <v>0</v>
      </c>
      <c r="T252" s="5">
        <f>SUM(C252:O252)</f>
        <v>42823.09714285715</v>
      </c>
      <c r="Y252" s="12"/>
    </row>
    <row r="253" spans="2:25" x14ac:dyDescent="0.3">
      <c r="B253" s="3">
        <v>2040</v>
      </c>
      <c r="C253" s="50">
        <f>Inputs_Summary!E$53*((C12+C18))/10/1000</f>
        <v>24383.552</v>
      </c>
      <c r="D253" s="50">
        <f>Inputs_Summary!F$53*((D12+D18))/10/1000</f>
        <v>0</v>
      </c>
      <c r="E253" s="50">
        <f>Inputs_Summary!G$53*((E12+E18))/10/1000</f>
        <v>4453.4880000000003</v>
      </c>
      <c r="F253" s="50">
        <f>Inputs_Summary!H$53*((F12+F18))/10/1000</f>
        <v>12169.871999999999</v>
      </c>
      <c r="G253" s="50">
        <f>Inputs_Summary!I$53*((G12+G18))/10/1000</f>
        <v>0</v>
      </c>
      <c r="H253" s="50">
        <f>Inputs_Summary!J$53*((H12+H18))/10/1000</f>
        <v>36864</v>
      </c>
      <c r="I253" s="50">
        <f>Inputs_Summary!K$53*((I12+I18))/10/1000</f>
        <v>2210</v>
      </c>
      <c r="J253" s="50">
        <f>Inputs_Summary!L$53*((J12+J18))/10/1000</f>
        <v>45197.504000000001</v>
      </c>
      <c r="K253" s="50">
        <f>Inputs_Summary!M$53*((K12+K18))/10/1000</f>
        <v>0</v>
      </c>
      <c r="L253" s="50">
        <f>Inputs_Summary!N$53*((L12+L18))/10/1000</f>
        <v>0</v>
      </c>
      <c r="M253" s="50">
        <f>Inputs_Summary!O$53*((M12+M18))/10/1000</f>
        <v>0</v>
      </c>
      <c r="N253" s="50">
        <f>Inputs_Summary!P$53*((N12+N18))/10/1000</f>
        <v>0</v>
      </c>
      <c r="O253" s="50">
        <f>Inputs_Summary!Q$53*((O12+O18))/10/1000</f>
        <v>0</v>
      </c>
      <c r="P253" s="53"/>
      <c r="Q253" s="5">
        <f>G253+N253</f>
        <v>0</v>
      </c>
      <c r="R253" s="5">
        <f>SUM(K253:L253)</f>
        <v>0</v>
      </c>
      <c r="T253" s="5">
        <f>SUM(C253:O253)</f>
        <v>125278.416</v>
      </c>
      <c r="Y253" s="12"/>
    </row>
    <row r="254" spans="2:25" x14ac:dyDescent="0.3">
      <c r="B254" s="3">
        <v>2050</v>
      </c>
      <c r="C254" s="50">
        <f>Inputs_Summary!E$53*((C13+C19))/10/1000</f>
        <v>24383.552</v>
      </c>
      <c r="D254" s="50">
        <f>Inputs_Summary!F$53*((D13+D19))/10/1000</f>
        <v>0</v>
      </c>
      <c r="E254" s="50">
        <f>Inputs_Summary!G$53*((E13+E19))/10/1000</f>
        <v>8906.9760000000006</v>
      </c>
      <c r="F254" s="50">
        <f>Inputs_Summary!H$53*((F13+F19))/10/1000</f>
        <v>17235.504000000001</v>
      </c>
      <c r="G254" s="50">
        <f>Inputs_Summary!I$53*((G13+G19))/10/1000</f>
        <v>0</v>
      </c>
      <c r="H254" s="50">
        <f>Inputs_Summary!J$53*((H13+H19))/10/1000</f>
        <v>54464</v>
      </c>
      <c r="I254" s="50">
        <f>Inputs_Summary!K$53*((I13+I19))/10/1000</f>
        <v>0</v>
      </c>
      <c r="J254" s="50">
        <f>Inputs_Summary!L$53*((J13+J19))/10/1000</f>
        <v>64528</v>
      </c>
      <c r="K254" s="50">
        <f>Inputs_Summary!M$53*((K13+K19))/10/1000</f>
        <v>0</v>
      </c>
      <c r="L254" s="50">
        <f>Inputs_Summary!N$53*((L13+L19))/10/1000</f>
        <v>0</v>
      </c>
      <c r="M254" s="50">
        <f>Inputs_Summary!O$53*((M13+M19))/10/1000</f>
        <v>0</v>
      </c>
      <c r="N254" s="50">
        <f>Inputs_Summary!P$53*((N13+N19))/10/1000</f>
        <v>0</v>
      </c>
      <c r="O254" s="50">
        <f>Inputs_Summary!Q$53*((O13+O19))/10/1000</f>
        <v>0</v>
      </c>
      <c r="P254" s="53"/>
      <c r="Q254" s="5">
        <f>G254+N254</f>
        <v>0</v>
      </c>
      <c r="R254" s="5">
        <f>SUM(K254:L254)</f>
        <v>0</v>
      </c>
      <c r="T254" s="5">
        <f>SUM(C254:O254)</f>
        <v>169518.03200000001</v>
      </c>
      <c r="Y254" s="12"/>
    </row>
    <row r="255" spans="2:25" x14ac:dyDescent="0.3">
      <c r="B255" s="41"/>
      <c r="Y255" s="12"/>
    </row>
    <row r="256" spans="2:25" ht="28.8" x14ac:dyDescent="0.3">
      <c r="B256" s="43" t="s">
        <v>125</v>
      </c>
      <c r="C256" s="43" t="s">
        <v>0</v>
      </c>
      <c r="D256" s="43" t="s">
        <v>1</v>
      </c>
      <c r="E256" s="43" t="s">
        <v>28</v>
      </c>
      <c r="F256" s="2" t="s">
        <v>29</v>
      </c>
      <c r="G256" s="2" t="s">
        <v>6</v>
      </c>
      <c r="H256" s="43" t="s">
        <v>2</v>
      </c>
      <c r="I256" s="43" t="s">
        <v>3</v>
      </c>
      <c r="J256" s="43" t="s">
        <v>4</v>
      </c>
      <c r="K256" s="43" t="s">
        <v>9</v>
      </c>
      <c r="L256" s="43" t="s">
        <v>8</v>
      </c>
      <c r="M256" s="43" t="s">
        <v>25</v>
      </c>
      <c r="N256" s="43" t="s">
        <v>7</v>
      </c>
      <c r="O256" s="43" t="s">
        <v>89</v>
      </c>
      <c r="P256" s="25"/>
      <c r="Q256" s="43" t="s">
        <v>5</v>
      </c>
      <c r="R256" s="43" t="s">
        <v>91</v>
      </c>
      <c r="T256" s="43" t="s">
        <v>10</v>
      </c>
      <c r="Y256" s="12"/>
    </row>
    <row r="257" spans="2:25" x14ac:dyDescent="0.3">
      <c r="B257" s="3">
        <v>2016</v>
      </c>
      <c r="C257" s="50">
        <f>C52*Inputs_Summary!E$54/1000</f>
        <v>45896.9543048372</v>
      </c>
      <c r="D257" s="50">
        <f>D52*Inputs_Summary!F$54/1000</f>
        <v>1194.2541863648376</v>
      </c>
      <c r="E257" s="50">
        <f>E52*Inputs_Summary!G$54/1000</f>
        <v>24.194456191623686</v>
      </c>
      <c r="F257" s="50">
        <f>F52*Inputs_Summary!H$54/1000</f>
        <v>64.778037480530941</v>
      </c>
      <c r="G257" s="50">
        <f>G52*Inputs_Summary!I$54/1000</f>
        <v>0</v>
      </c>
      <c r="H257" s="50">
        <f>H52*Inputs_Summary!J$54/1000</f>
        <v>482.6659542319224</v>
      </c>
      <c r="I257" s="50">
        <f>I52*Inputs_Summary!K$54/1000</f>
        <v>107.59709033191633</v>
      </c>
      <c r="J257" s="50">
        <f>J52*Inputs_Summary!L$54/1000</f>
        <v>290.29948580609926</v>
      </c>
      <c r="K257" s="50">
        <f>K52*Inputs_Summary!M$54/1000</f>
        <v>0</v>
      </c>
      <c r="L257" s="50">
        <f>L52*Inputs_Summary!N$54/1000</f>
        <v>0</v>
      </c>
      <c r="M257" s="50">
        <f>M52*Inputs_Summary!O$54/1000</f>
        <v>0</v>
      </c>
      <c r="N257" s="50">
        <f>N52*Inputs_Summary!P$54/1000</f>
        <v>0</v>
      </c>
      <c r="O257" s="50">
        <f>O52*Inputs_Summary!Q$54/1000</f>
        <v>0</v>
      </c>
      <c r="P257" s="53"/>
      <c r="Q257" s="5">
        <f>G257+N257</f>
        <v>0</v>
      </c>
      <c r="R257" s="5">
        <f>SUM(K257:L257)</f>
        <v>0</v>
      </c>
      <c r="T257" s="5">
        <f>SUM(C257:O257)</f>
        <v>48060.743515244132</v>
      </c>
      <c r="Y257" s="12"/>
    </row>
    <row r="258" spans="2:25" x14ac:dyDescent="0.3">
      <c r="B258" s="3">
        <v>2030</v>
      </c>
      <c r="C258" s="50">
        <f>C53*Inputs_Summary!E$54/1000</f>
        <v>44886.508334473714</v>
      </c>
      <c r="D258" s="50">
        <f>D53*Inputs_Summary!F$54/1000</f>
        <v>1176.250224846938</v>
      </c>
      <c r="E258" s="50">
        <f>E53*Inputs_Summary!G$54/1000</f>
        <v>270.74633361287897</v>
      </c>
      <c r="F258" s="50">
        <f>F53*Inputs_Summary!H$54/1000</f>
        <v>123.8676716167421</v>
      </c>
      <c r="G258" s="50">
        <f>G53*Inputs_Summary!I$54/1000</f>
        <v>0</v>
      </c>
      <c r="H258" s="50">
        <f>H53*Inputs_Summary!J$54/1000</f>
        <v>9636.8314124515382</v>
      </c>
      <c r="I258" s="50">
        <f>I53*Inputs_Summary!K$54/1000</f>
        <v>656.36402079523657</v>
      </c>
      <c r="J258" s="50">
        <f>J53*Inputs_Summary!L$54/1000</f>
        <v>2988.644174687644</v>
      </c>
      <c r="K258" s="50">
        <f>K53*Inputs_Summary!M$54/1000</f>
        <v>0</v>
      </c>
      <c r="L258" s="50">
        <f>L53*Inputs_Summary!N$54/1000</f>
        <v>0</v>
      </c>
      <c r="M258" s="50">
        <f>M53*Inputs_Summary!O$54/1000</f>
        <v>0</v>
      </c>
      <c r="N258" s="50">
        <f>N53*Inputs_Summary!P$54/1000</f>
        <v>0</v>
      </c>
      <c r="O258" s="50">
        <f>O53*Inputs_Summary!Q$54/1000</f>
        <v>0</v>
      </c>
      <c r="P258" s="53"/>
      <c r="Q258" s="5">
        <f>G258+N258</f>
        <v>0</v>
      </c>
      <c r="R258" s="5">
        <f>SUM(K258:L258)</f>
        <v>0</v>
      </c>
      <c r="T258" s="5">
        <f>SUM(C258:O258)</f>
        <v>59739.212172484687</v>
      </c>
      <c r="Y258" s="12"/>
    </row>
    <row r="259" spans="2:25" x14ac:dyDescent="0.3">
      <c r="B259" s="3">
        <v>2040</v>
      </c>
      <c r="C259" s="50">
        <f>C54*Inputs_Summary!E$54/1000</f>
        <v>22669.0927169936</v>
      </c>
      <c r="D259" s="50">
        <f>D54*Inputs_Summary!F$54/1000</f>
        <v>1105.3098409043826</v>
      </c>
      <c r="E259" s="50">
        <f>E54*Inputs_Summary!G$54/1000</f>
        <v>872.27074031676898</v>
      </c>
      <c r="F259" s="50">
        <f>F54*Inputs_Summary!H$54/1000</f>
        <v>314.7733080869009</v>
      </c>
      <c r="G259" s="50">
        <f>G54*Inputs_Summary!I$54/1000</f>
        <v>0</v>
      </c>
      <c r="H259" s="50">
        <f>H54*Inputs_Summary!J$54/1000</f>
        <v>21110.298419148079</v>
      </c>
      <c r="I259" s="50">
        <f>I54*Inputs_Summary!K$54/1000</f>
        <v>658.63984848390112</v>
      </c>
      <c r="J259" s="50">
        <f>J54*Inputs_Summary!L$54/1000</f>
        <v>9490.8510849651302</v>
      </c>
      <c r="K259" s="50">
        <f>K54*Inputs_Summary!M$54/1000</f>
        <v>0</v>
      </c>
      <c r="L259" s="50">
        <f>L54*Inputs_Summary!N$54/1000</f>
        <v>0</v>
      </c>
      <c r="M259" s="50">
        <f>M54*Inputs_Summary!O$54/1000</f>
        <v>0</v>
      </c>
      <c r="N259" s="50">
        <f>N54*Inputs_Summary!P$54/1000</f>
        <v>0</v>
      </c>
      <c r="O259" s="50">
        <f>O54*Inputs_Summary!Q$54/1000</f>
        <v>0</v>
      </c>
      <c r="P259" s="53"/>
      <c r="Q259" s="5">
        <f>G259+N259</f>
        <v>0</v>
      </c>
      <c r="R259" s="5">
        <f>SUM(K259:L259)</f>
        <v>0</v>
      </c>
      <c r="T259" s="5">
        <f>SUM(C259:O259)</f>
        <v>56221.23595889876</v>
      </c>
      <c r="Y259" s="12"/>
    </row>
    <row r="260" spans="2:25" x14ac:dyDescent="0.3">
      <c r="B260" s="3">
        <v>2050</v>
      </c>
      <c r="C260" s="50">
        <f>C55*Inputs_Summary!E$54/1000</f>
        <v>14059.704450782445</v>
      </c>
      <c r="D260" s="50">
        <f>D55*Inputs_Summary!F$54/1000</f>
        <v>0</v>
      </c>
      <c r="E260" s="50">
        <f>E55*Inputs_Summary!G$54/1000</f>
        <v>1762.5041194462742</v>
      </c>
      <c r="F260" s="50">
        <f>F55*Inputs_Summary!H$54/1000</f>
        <v>400.98507460582721</v>
      </c>
      <c r="G260" s="50">
        <f>G55*Inputs_Summary!I$54/1000</f>
        <v>0</v>
      </c>
      <c r="H260" s="50">
        <f>H55*Inputs_Summary!J$54/1000</f>
        <v>30836.291204376023</v>
      </c>
      <c r="I260" s="50">
        <f>I55*Inputs_Summary!K$54/1000</f>
        <v>0</v>
      </c>
      <c r="J260" s="50">
        <f>J55*Inputs_Summary!L$54/1000</f>
        <v>12027.659339818487</v>
      </c>
      <c r="K260" s="50">
        <f>K55*Inputs_Summary!M$54/1000</f>
        <v>0</v>
      </c>
      <c r="L260" s="50">
        <f>L55*Inputs_Summary!N$54/1000</f>
        <v>0</v>
      </c>
      <c r="M260" s="50">
        <f>M55*Inputs_Summary!O$54/1000</f>
        <v>0</v>
      </c>
      <c r="N260" s="50">
        <f>N55*Inputs_Summary!P$54/1000</f>
        <v>0</v>
      </c>
      <c r="O260" s="50">
        <f>O55*Inputs_Summary!Q$54/1000</f>
        <v>0</v>
      </c>
      <c r="P260" s="53"/>
      <c r="Q260" s="5">
        <f>G260+N260</f>
        <v>0</v>
      </c>
      <c r="R260" s="5">
        <f>SUM(K260:L260)</f>
        <v>0</v>
      </c>
      <c r="T260" s="5">
        <f>SUM(C260:O260)</f>
        <v>59087.144189029052</v>
      </c>
      <c r="Y260" s="12"/>
    </row>
    <row r="261" spans="2:25" x14ac:dyDescent="0.3">
      <c r="B261" s="11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11"/>
      <c r="R261" s="11"/>
      <c r="Y261" s="12"/>
    </row>
    <row r="262" spans="2:25" ht="28.8" x14ac:dyDescent="0.3">
      <c r="B262" s="43" t="s">
        <v>126</v>
      </c>
      <c r="C262" s="43" t="s">
        <v>0</v>
      </c>
      <c r="D262" s="43" t="s">
        <v>1</v>
      </c>
      <c r="E262" s="43" t="s">
        <v>28</v>
      </c>
      <c r="F262" s="2" t="s">
        <v>29</v>
      </c>
      <c r="G262" s="2" t="s">
        <v>6</v>
      </c>
      <c r="H262" s="43" t="s">
        <v>2</v>
      </c>
      <c r="I262" s="43" t="s">
        <v>3</v>
      </c>
      <c r="J262" s="43" t="s">
        <v>4</v>
      </c>
      <c r="K262" s="43" t="s">
        <v>9</v>
      </c>
      <c r="L262" s="43" t="s">
        <v>8</v>
      </c>
      <c r="M262" s="43" t="s">
        <v>25</v>
      </c>
      <c r="N262" s="43" t="s">
        <v>7</v>
      </c>
      <c r="O262" s="43" t="s">
        <v>89</v>
      </c>
      <c r="P262" s="25"/>
      <c r="Q262" s="43" t="s">
        <v>5</v>
      </c>
      <c r="R262" s="43" t="s">
        <v>91</v>
      </c>
      <c r="T262" s="43" t="s">
        <v>10</v>
      </c>
      <c r="Y262" s="12"/>
    </row>
    <row r="263" spans="2:25" x14ac:dyDescent="0.3">
      <c r="B263" s="3">
        <v>2016</v>
      </c>
      <c r="C263" s="50">
        <v>0</v>
      </c>
      <c r="D263" s="50">
        <v>0</v>
      </c>
      <c r="E263" s="50">
        <v>0</v>
      </c>
      <c r="F263" s="50">
        <v>0</v>
      </c>
      <c r="G263" s="50">
        <v>0</v>
      </c>
      <c r="H263" s="50">
        <v>0</v>
      </c>
      <c r="I263" s="50">
        <v>0</v>
      </c>
      <c r="J263" s="50">
        <v>0</v>
      </c>
      <c r="K263" s="50">
        <v>0</v>
      </c>
      <c r="L263" s="50">
        <v>0</v>
      </c>
      <c r="M263" s="50">
        <v>0</v>
      </c>
      <c r="N263" s="50">
        <v>0</v>
      </c>
      <c r="O263" s="50">
        <v>0</v>
      </c>
      <c r="P263" s="53"/>
      <c r="Q263" s="5">
        <f>G263+N263</f>
        <v>0</v>
      </c>
      <c r="R263" s="5">
        <f>SUM(K263:L263)</f>
        <v>0</v>
      </c>
      <c r="T263" s="5">
        <f>SUM(C263:O263)</f>
        <v>0</v>
      </c>
      <c r="Y263" s="12"/>
    </row>
    <row r="264" spans="2:25" x14ac:dyDescent="0.3">
      <c r="B264" s="3">
        <v>2030</v>
      </c>
      <c r="C264" s="50">
        <f>Inputs_Summary!E$56*((C11+C17)-(C10+C16))/14/1000</f>
        <v>3771.1328571428571</v>
      </c>
      <c r="D264" s="50">
        <f>Inputs_Summary!F$56*((D11+D17)-(D10+D16))/14/1000</f>
        <v>0</v>
      </c>
      <c r="E264" s="50">
        <f>Inputs_Summary!G$56*((E11+E17)-(E10+E16))/14/1000</f>
        <v>167.31428571428572</v>
      </c>
      <c r="F264" s="50">
        <f>Inputs_Summary!H$56*((F11+F17)-(F10+F16))/14/1000</f>
        <v>573.25714285714287</v>
      </c>
      <c r="G264" s="50">
        <f>Inputs_Summary!I$56*((G11+G17)-(G10+G16))/14/1000</f>
        <v>0</v>
      </c>
      <c r="H264" s="50">
        <f>Inputs_Summary!J$56*((H11+H17)-(H10+H16))/14/1000</f>
        <v>7431.6</v>
      </c>
      <c r="I264" s="50">
        <f>Inputs_Summary!K$56*((I11+I17)-(I10+I16))/14/1000</f>
        <v>546.42857142857144</v>
      </c>
      <c r="J264" s="50">
        <f>Inputs_Summary!L$56*((J11+J17)-(J10+J16))/14/1000</f>
        <v>4860.96</v>
      </c>
      <c r="K264" s="50">
        <f>Inputs_Summary!M$56*((K11+K17)-(K10+K16))/14/1000</f>
        <v>0</v>
      </c>
      <c r="L264" s="50">
        <f>Inputs_Summary!N$56*((L11+L17)-(L10+L16))/14/1000</f>
        <v>0</v>
      </c>
      <c r="M264" s="50">
        <f>Inputs_Summary!O$56*((M11+M17)-(M10+M16))/14/1000</f>
        <v>0</v>
      </c>
      <c r="N264" s="50">
        <f>Inputs_Summary!P$56*((N11+N17)-(N10+N16))/14/1000</f>
        <v>0</v>
      </c>
      <c r="O264" s="50">
        <f>Inputs_Summary!Q$56*((O11+O17)-(O10+O16))/14/1000</f>
        <v>0</v>
      </c>
      <c r="P264" s="53"/>
      <c r="Q264" s="5">
        <f>G264+N264</f>
        <v>0</v>
      </c>
      <c r="R264" s="5">
        <f>SUM(K264:L264)</f>
        <v>0</v>
      </c>
      <c r="T264" s="5">
        <f>SUM(C264:O264)</f>
        <v>17350.692857142858</v>
      </c>
      <c r="Y264" s="12"/>
    </row>
    <row r="265" spans="2:25" x14ac:dyDescent="0.3">
      <c r="B265" s="3">
        <v>2040</v>
      </c>
      <c r="C265" s="50">
        <f>Inputs_Summary!E$56*((C12+C18))/10/1000</f>
        <v>5712.0640000000003</v>
      </c>
      <c r="D265" s="50">
        <f>Inputs_Summary!F$56*((D12+D18))/10/1000</f>
        <v>0</v>
      </c>
      <c r="E265" s="50">
        <f>Inputs_Summary!G$56*((E12+E18))/10/1000</f>
        <v>761.28</v>
      </c>
      <c r="F265" s="50">
        <f>Inputs_Summary!H$56*((F12+F18))/10/1000</f>
        <v>2080.3200000000002</v>
      </c>
      <c r="G265" s="50">
        <f>Inputs_Summary!I$56*((G12+G18))/10/1000</f>
        <v>0</v>
      </c>
      <c r="H265" s="50">
        <f>Inputs_Summary!J$56*((H12+H18))/10/1000</f>
        <v>25344</v>
      </c>
      <c r="I265" s="50">
        <f>Inputs_Summary!K$56*((I12+I18))/10/1000</f>
        <v>765</v>
      </c>
      <c r="J265" s="50">
        <f>Inputs_Summary!L$56*((J12+J18))/10/1000</f>
        <v>25501.344000000001</v>
      </c>
      <c r="K265" s="50">
        <f>Inputs_Summary!M$56*((K12+K18))/10/1000</f>
        <v>0</v>
      </c>
      <c r="L265" s="50">
        <f>Inputs_Summary!N$56*((L12+L18))/10/1000</f>
        <v>0</v>
      </c>
      <c r="M265" s="50">
        <f>Inputs_Summary!O$56*((M12+M18))/10/1000</f>
        <v>0</v>
      </c>
      <c r="N265" s="50">
        <f>Inputs_Summary!P$56*((N12+N18))/10/1000</f>
        <v>0</v>
      </c>
      <c r="O265" s="50">
        <f>Inputs_Summary!Q$56*((O12+O18))/10/1000</f>
        <v>0</v>
      </c>
      <c r="P265" s="53"/>
      <c r="Q265" s="5">
        <f>G265+N265</f>
        <v>0</v>
      </c>
      <c r="R265" s="5">
        <f>SUM(K265:L265)</f>
        <v>0</v>
      </c>
      <c r="T265" s="5">
        <f>SUM(C265:O265)</f>
        <v>60164.008000000002</v>
      </c>
      <c r="Y265" s="12"/>
    </row>
    <row r="266" spans="2:25" x14ac:dyDescent="0.3">
      <c r="B266" s="3">
        <v>2050</v>
      </c>
      <c r="C266" s="50">
        <f>Inputs_Summary!E$56*((C13+C19))/10/1000</f>
        <v>5712.0640000000003</v>
      </c>
      <c r="D266" s="50">
        <f>Inputs_Summary!F$56*((D13+D19))/10/1000</f>
        <v>0</v>
      </c>
      <c r="E266" s="50">
        <f>Inputs_Summary!G$56*((E13+E19))/10/1000</f>
        <v>1522.56</v>
      </c>
      <c r="F266" s="50">
        <f>Inputs_Summary!H$56*((F13+F19))/10/1000</f>
        <v>2946.24</v>
      </c>
      <c r="G266" s="50">
        <f>Inputs_Summary!I$56*((G13+G19))/10/1000</f>
        <v>0</v>
      </c>
      <c r="H266" s="50">
        <f>Inputs_Summary!J$56*((H13+H19))/10/1000</f>
        <v>37444</v>
      </c>
      <c r="I266" s="50">
        <f>Inputs_Summary!K$56*((I13+I19))/10/1000</f>
        <v>0</v>
      </c>
      <c r="J266" s="50">
        <f>Inputs_Summary!L$56*((J13+J19))/10/1000</f>
        <v>36408</v>
      </c>
      <c r="K266" s="50">
        <f>Inputs_Summary!M$56*((K13+K19))/10/1000</f>
        <v>0</v>
      </c>
      <c r="L266" s="50">
        <f>Inputs_Summary!N$56*((L13+L19))/10/1000</f>
        <v>0</v>
      </c>
      <c r="M266" s="50">
        <f>Inputs_Summary!O$56*((M13+M19))/10/1000</f>
        <v>0</v>
      </c>
      <c r="N266" s="50">
        <f>Inputs_Summary!P$56*((N13+N19))/10/1000</f>
        <v>0</v>
      </c>
      <c r="O266" s="50">
        <f>Inputs_Summary!Q$56*((O13+O19))/10/1000</f>
        <v>0</v>
      </c>
      <c r="P266" s="53"/>
      <c r="Q266" s="5">
        <f>G266+N266</f>
        <v>0</v>
      </c>
      <c r="R266" s="5">
        <f>SUM(K266:L266)</f>
        <v>0</v>
      </c>
      <c r="T266" s="5">
        <f>SUM(C266:O266)</f>
        <v>84032.864000000001</v>
      </c>
      <c r="Y266" s="12"/>
    </row>
    <row r="267" spans="2:25" x14ac:dyDescent="0.3">
      <c r="B267" s="41"/>
      <c r="Y267" s="12"/>
    </row>
    <row r="268" spans="2:25" ht="28.8" x14ac:dyDescent="0.3">
      <c r="B268" s="43" t="s">
        <v>127</v>
      </c>
      <c r="C268" s="43" t="s">
        <v>0</v>
      </c>
      <c r="D268" s="43" t="s">
        <v>1</v>
      </c>
      <c r="E268" s="43" t="s">
        <v>28</v>
      </c>
      <c r="F268" s="2" t="s">
        <v>29</v>
      </c>
      <c r="G268" s="2" t="s">
        <v>6</v>
      </c>
      <c r="H268" s="43" t="s">
        <v>2</v>
      </c>
      <c r="I268" s="43" t="s">
        <v>3</v>
      </c>
      <c r="J268" s="43" t="s">
        <v>4</v>
      </c>
      <c r="K268" s="43" t="s">
        <v>9</v>
      </c>
      <c r="L268" s="43" t="s">
        <v>8</v>
      </c>
      <c r="M268" s="43" t="s">
        <v>25</v>
      </c>
      <c r="N268" s="43" t="s">
        <v>7</v>
      </c>
      <c r="O268" s="43" t="s">
        <v>89</v>
      </c>
      <c r="P268" s="25"/>
      <c r="Q268" s="43" t="s">
        <v>5</v>
      </c>
      <c r="R268" s="43" t="s">
        <v>91</v>
      </c>
      <c r="T268" s="43" t="s">
        <v>10</v>
      </c>
      <c r="Y268" s="12"/>
    </row>
    <row r="269" spans="2:25" x14ac:dyDescent="0.3">
      <c r="B269" s="38"/>
      <c r="C269" s="50">
        <f>C52*Inputs_Summary!E$57/1000</f>
        <v>28685.596440523248</v>
      </c>
      <c r="D269" s="50">
        <f>D52*Inputs_Summary!F$57/1000</f>
        <v>176.92654612812407</v>
      </c>
      <c r="E269" s="50">
        <f>E52*Inputs_Summary!G$57/1000</f>
        <v>4.5364605359294412</v>
      </c>
      <c r="F269" s="50">
        <f>F52*Inputs_Summary!H$57/1000</f>
        <v>12.145882027599551</v>
      </c>
      <c r="G269" s="50">
        <f>G52*Inputs_Summary!I$57/1000</f>
        <v>0</v>
      </c>
      <c r="H269" s="50">
        <f>H52*Inputs_Summary!J$57/1000</f>
        <v>16.08886514106408</v>
      </c>
      <c r="I269" s="50">
        <f>I52*Inputs_Summary!K$57/1000</f>
        <v>12.415048884451885</v>
      </c>
      <c r="J269" s="50">
        <f>J52*Inputs_Summary!L$57/1000</f>
        <v>47.503552222816239</v>
      </c>
      <c r="K269" s="50">
        <f>K52*Inputs_Summary!M$57/1000</f>
        <v>0</v>
      </c>
      <c r="L269" s="50">
        <f>L52*Inputs_Summary!N$57/1000</f>
        <v>0</v>
      </c>
      <c r="M269" s="50">
        <f>M52*Inputs_Summary!O$57/1000</f>
        <v>0</v>
      </c>
      <c r="N269" s="50">
        <f>N52*Inputs_Summary!P$57/1000</f>
        <v>0</v>
      </c>
      <c r="O269" s="50">
        <f>O52*Inputs_Summary!Q$57/1000</f>
        <v>0</v>
      </c>
      <c r="P269" s="53"/>
      <c r="Q269" s="5">
        <f>G269+N269</f>
        <v>0</v>
      </c>
      <c r="R269" s="5">
        <f>SUM(K269:L269)</f>
        <v>0</v>
      </c>
      <c r="T269" s="5">
        <f>SUM(C269:O269)</f>
        <v>28955.212795463234</v>
      </c>
      <c r="Y269" s="12"/>
    </row>
    <row r="270" spans="2:25" x14ac:dyDescent="0.3">
      <c r="C270" s="50">
        <f>C53*Inputs_Summary!E$57/1000</f>
        <v>28054.067709046074</v>
      </c>
      <c r="D270" s="50">
        <f>D53*Inputs_Summary!F$57/1000</f>
        <v>174.25929256991674</v>
      </c>
      <c r="E270" s="50">
        <f>E53*Inputs_Summary!G$57/1000</f>
        <v>50.764937552414807</v>
      </c>
      <c r="F270" s="50">
        <f>F53*Inputs_Summary!H$57/1000</f>
        <v>23.225188428139145</v>
      </c>
      <c r="G270" s="50">
        <f>G53*Inputs_Summary!I$57/1000</f>
        <v>0</v>
      </c>
      <c r="H270" s="50">
        <f>H53*Inputs_Summary!J$57/1000</f>
        <v>321.22771374838453</v>
      </c>
      <c r="I270" s="50">
        <f>I53*Inputs_Summary!K$57/1000</f>
        <v>75.734310091758076</v>
      </c>
      <c r="J270" s="50">
        <f>J53*Inputs_Summary!L$57/1000</f>
        <v>489.05086494888718</v>
      </c>
      <c r="K270" s="50">
        <f>K53*Inputs_Summary!M$57/1000</f>
        <v>0</v>
      </c>
      <c r="L270" s="50">
        <f>L53*Inputs_Summary!N$57/1000</f>
        <v>0</v>
      </c>
      <c r="M270" s="50">
        <f>M53*Inputs_Summary!O$57/1000</f>
        <v>0</v>
      </c>
      <c r="N270" s="50">
        <f>N53*Inputs_Summary!P$57/1000</f>
        <v>0</v>
      </c>
      <c r="O270" s="50">
        <f>O53*Inputs_Summary!Q$57/1000</f>
        <v>0</v>
      </c>
      <c r="P270" s="53"/>
      <c r="Q270" s="5">
        <f>G270+N270</f>
        <v>0</v>
      </c>
      <c r="R270" s="5">
        <f>SUM(K270:L270)</f>
        <v>0</v>
      </c>
      <c r="T270" s="5">
        <f>SUM(C270:O270)</f>
        <v>29188.330016385575</v>
      </c>
      <c r="Y270" s="12"/>
    </row>
    <row r="271" spans="2:25" x14ac:dyDescent="0.3">
      <c r="C271" s="50">
        <f>C54*Inputs_Summary!E$57/1000</f>
        <v>14168.182948121001</v>
      </c>
      <c r="D271" s="50">
        <f>D54*Inputs_Summary!F$57/1000</f>
        <v>163.74960605990853</v>
      </c>
      <c r="E271" s="50">
        <f>E54*Inputs_Summary!G$57/1000</f>
        <v>163.55076380939417</v>
      </c>
      <c r="F271" s="50">
        <f>F54*Inputs_Summary!H$57/1000</f>
        <v>59.019995266293918</v>
      </c>
      <c r="G271" s="50">
        <f>G54*Inputs_Summary!I$57/1000</f>
        <v>0</v>
      </c>
      <c r="H271" s="50">
        <f>H54*Inputs_Summary!J$57/1000</f>
        <v>703.67661397160259</v>
      </c>
      <c r="I271" s="50">
        <f>I54*Inputs_Summary!K$57/1000</f>
        <v>75.996905594296294</v>
      </c>
      <c r="J271" s="50">
        <f>J54*Inputs_Summary!L$57/1000</f>
        <v>1553.0483593579304</v>
      </c>
      <c r="K271" s="50">
        <f>K54*Inputs_Summary!M$57/1000</f>
        <v>0</v>
      </c>
      <c r="L271" s="50">
        <f>L54*Inputs_Summary!N$57/1000</f>
        <v>0</v>
      </c>
      <c r="M271" s="50">
        <f>M54*Inputs_Summary!O$57/1000</f>
        <v>0</v>
      </c>
      <c r="N271" s="50">
        <f>N54*Inputs_Summary!P$57/1000</f>
        <v>0</v>
      </c>
      <c r="O271" s="50">
        <f>O54*Inputs_Summary!Q$57/1000</f>
        <v>0</v>
      </c>
      <c r="P271" s="53"/>
      <c r="Q271" s="5">
        <f>G271+N271</f>
        <v>0</v>
      </c>
      <c r="R271" s="5">
        <f>SUM(K271:L271)</f>
        <v>0</v>
      </c>
      <c r="T271" s="5">
        <f>SUM(C271:O271)</f>
        <v>16887.225192180427</v>
      </c>
      <c r="Y271" s="12"/>
    </row>
    <row r="272" spans="2:25" x14ac:dyDescent="0.3">
      <c r="C272" s="50">
        <f>C55*Inputs_Summary!E$57/1000</f>
        <v>8787.3152817390273</v>
      </c>
      <c r="D272" s="50">
        <f>D55*Inputs_Summary!F$57/1000</f>
        <v>0</v>
      </c>
      <c r="E272" s="50">
        <f>E55*Inputs_Summary!G$57/1000</f>
        <v>330.46952239617639</v>
      </c>
      <c r="F272" s="50">
        <f>F55*Inputs_Summary!H$57/1000</f>
        <v>75.184701488592609</v>
      </c>
      <c r="G272" s="50">
        <f>G55*Inputs_Summary!I$57/1000</f>
        <v>0</v>
      </c>
      <c r="H272" s="50">
        <f>H55*Inputs_Summary!J$57/1000</f>
        <v>1027.8763734792008</v>
      </c>
      <c r="I272" s="50">
        <f>I55*Inputs_Summary!K$57/1000</f>
        <v>0</v>
      </c>
      <c r="J272" s="50">
        <f>J55*Inputs_Summary!L$57/1000</f>
        <v>1968.1624374248433</v>
      </c>
      <c r="K272" s="50">
        <f>K55*Inputs_Summary!M$57/1000</f>
        <v>0</v>
      </c>
      <c r="L272" s="50">
        <f>L55*Inputs_Summary!N$57/1000</f>
        <v>0</v>
      </c>
      <c r="M272" s="50">
        <f>M55*Inputs_Summary!O$57/1000</f>
        <v>0</v>
      </c>
      <c r="N272" s="50">
        <f>N55*Inputs_Summary!P$57/1000</f>
        <v>0</v>
      </c>
      <c r="O272" s="50">
        <f>O55*Inputs_Summary!Q$57/1000</f>
        <v>0</v>
      </c>
      <c r="P272" s="53"/>
      <c r="Q272" s="5">
        <f>G272+N272</f>
        <v>0</v>
      </c>
      <c r="R272" s="5">
        <f>SUM(K272:L272)</f>
        <v>0</v>
      </c>
      <c r="T272" s="5">
        <f>SUM(C272:O272)</f>
        <v>12189.008316527843</v>
      </c>
      <c r="Y272" s="60"/>
    </row>
    <row r="273" spans="1:37" x14ac:dyDescent="0.3">
      <c r="B273" s="41"/>
      <c r="Y273" s="12"/>
    </row>
    <row r="274" spans="1:37" ht="28.8" x14ac:dyDescent="0.3">
      <c r="B274" s="43" t="s">
        <v>123</v>
      </c>
      <c r="C274" s="43" t="s">
        <v>0</v>
      </c>
      <c r="D274" s="43" t="s">
        <v>1</v>
      </c>
      <c r="E274" s="43" t="s">
        <v>28</v>
      </c>
      <c r="F274" s="2" t="s">
        <v>29</v>
      </c>
      <c r="G274" s="2" t="s">
        <v>6</v>
      </c>
      <c r="H274" s="43" t="s">
        <v>2</v>
      </c>
      <c r="I274" s="43" t="s">
        <v>3</v>
      </c>
      <c r="J274" s="43" t="s">
        <v>4</v>
      </c>
      <c r="K274" s="43" t="s">
        <v>9</v>
      </c>
      <c r="L274" s="43" t="s">
        <v>8</v>
      </c>
      <c r="M274" s="43" t="s">
        <v>25</v>
      </c>
      <c r="N274" s="43" t="s">
        <v>7</v>
      </c>
      <c r="O274" s="43" t="s">
        <v>89</v>
      </c>
      <c r="P274" s="25"/>
      <c r="Q274" s="43" t="s">
        <v>5</v>
      </c>
      <c r="R274" s="43" t="s">
        <v>91</v>
      </c>
      <c r="T274" s="43" t="s">
        <v>10</v>
      </c>
      <c r="Y274" s="12"/>
    </row>
    <row r="275" spans="1:37" x14ac:dyDescent="0.3">
      <c r="B275" s="38"/>
      <c r="C275" s="50">
        <f>C251+C257+C263+C269</f>
        <v>74582.550745360451</v>
      </c>
      <c r="D275" s="50">
        <f t="shared" ref="D275:O275" si="114">D251+D257+D263+D269</f>
        <v>1371.1807324929616</v>
      </c>
      <c r="E275" s="50">
        <f t="shared" si="114"/>
        <v>28.730916727553129</v>
      </c>
      <c r="F275" s="50">
        <f t="shared" si="114"/>
        <v>76.923919508130496</v>
      </c>
      <c r="G275" s="50">
        <f t="shared" si="114"/>
        <v>0</v>
      </c>
      <c r="H275" s="50">
        <f t="shared" si="114"/>
        <v>498.7548193729865</v>
      </c>
      <c r="I275" s="50">
        <f t="shared" si="114"/>
        <v>120.01213921636821</v>
      </c>
      <c r="J275" s="50">
        <f t="shared" si="114"/>
        <v>337.80303802891547</v>
      </c>
      <c r="K275" s="50">
        <f t="shared" si="114"/>
        <v>0</v>
      </c>
      <c r="L275" s="50">
        <f t="shared" si="114"/>
        <v>0</v>
      </c>
      <c r="M275" s="50">
        <f t="shared" si="114"/>
        <v>0</v>
      </c>
      <c r="N275" s="50">
        <f t="shared" si="114"/>
        <v>0</v>
      </c>
      <c r="O275" s="50">
        <f t="shared" si="114"/>
        <v>0</v>
      </c>
      <c r="P275" s="53"/>
      <c r="Q275" s="5">
        <f>G275+N275</f>
        <v>0</v>
      </c>
      <c r="R275" s="5">
        <f>SUM(K275:L275)</f>
        <v>0</v>
      </c>
      <c r="T275" s="5">
        <f>SUM(C275:O275)</f>
        <v>77015.956310707377</v>
      </c>
      <c r="Y275" s="12"/>
    </row>
    <row r="276" spans="1:37" x14ac:dyDescent="0.3">
      <c r="C276" s="50">
        <f t="shared" ref="C276:O278" si="115">C252+C258+C264+C270</f>
        <v>94128.531757805496</v>
      </c>
      <c r="D276" s="50">
        <f t="shared" si="115"/>
        <v>1350.5095174168546</v>
      </c>
      <c r="E276" s="50">
        <f t="shared" si="115"/>
        <v>1467.6141283081508</v>
      </c>
      <c r="F276" s="50">
        <f t="shared" si="115"/>
        <v>4073.9042886163097</v>
      </c>
      <c r="G276" s="50">
        <f t="shared" si="115"/>
        <v>0</v>
      </c>
      <c r="H276" s="50">
        <f t="shared" si="115"/>
        <v>28269.65912619992</v>
      </c>
      <c r="I276" s="50">
        <f t="shared" si="115"/>
        <v>2857.098330886995</v>
      </c>
      <c r="J276" s="50">
        <f t="shared" si="115"/>
        <v>16954.015039636532</v>
      </c>
      <c r="K276" s="50">
        <f t="shared" si="115"/>
        <v>0</v>
      </c>
      <c r="L276" s="50">
        <f t="shared" si="115"/>
        <v>0</v>
      </c>
      <c r="M276" s="50">
        <f t="shared" si="115"/>
        <v>0</v>
      </c>
      <c r="N276" s="50">
        <f t="shared" si="115"/>
        <v>0</v>
      </c>
      <c r="O276" s="50">
        <f t="shared" si="115"/>
        <v>0</v>
      </c>
      <c r="P276" s="53"/>
      <c r="Q276" s="5">
        <f>G276+N276</f>
        <v>0</v>
      </c>
      <c r="R276" s="5">
        <f>SUM(K276:L276)</f>
        <v>0</v>
      </c>
      <c r="T276" s="5">
        <f>SUM(C276:O276)</f>
        <v>149101.33218887026</v>
      </c>
      <c r="Y276" s="12"/>
    </row>
    <row r="277" spans="1:37" x14ac:dyDescent="0.3">
      <c r="C277" s="50">
        <f t="shared" si="115"/>
        <v>66932.891665114599</v>
      </c>
      <c r="D277" s="50">
        <f t="shared" si="115"/>
        <v>1269.0594469642911</v>
      </c>
      <c r="E277" s="50">
        <f t="shared" si="115"/>
        <v>6250.5895041261629</v>
      </c>
      <c r="F277" s="50">
        <f t="shared" si="115"/>
        <v>14623.985303353193</v>
      </c>
      <c r="G277" s="50">
        <f t="shared" si="115"/>
        <v>0</v>
      </c>
      <c r="H277" s="50">
        <f t="shared" si="115"/>
        <v>84021.975033119685</v>
      </c>
      <c r="I277" s="50">
        <f t="shared" si="115"/>
        <v>3709.6367540781971</v>
      </c>
      <c r="J277" s="50">
        <f t="shared" si="115"/>
        <v>81742.74744432306</v>
      </c>
      <c r="K277" s="50">
        <f t="shared" si="115"/>
        <v>0</v>
      </c>
      <c r="L277" s="50">
        <f t="shared" si="115"/>
        <v>0</v>
      </c>
      <c r="M277" s="50">
        <f t="shared" si="115"/>
        <v>0</v>
      </c>
      <c r="N277" s="50">
        <f t="shared" si="115"/>
        <v>0</v>
      </c>
      <c r="O277" s="50">
        <f t="shared" si="115"/>
        <v>0</v>
      </c>
      <c r="P277" s="53"/>
      <c r="Q277" s="5">
        <f>G277+N277</f>
        <v>0</v>
      </c>
      <c r="R277" s="5">
        <f>SUM(K277:L277)</f>
        <v>0</v>
      </c>
      <c r="T277" s="5">
        <f>SUM(C277:O277)</f>
        <v>258550.88515107922</v>
      </c>
      <c r="Y277" s="12"/>
    </row>
    <row r="278" spans="1:37" x14ac:dyDescent="0.3">
      <c r="C278" s="50">
        <f t="shared" si="115"/>
        <v>52942.63573252147</v>
      </c>
      <c r="D278" s="50">
        <f t="shared" si="115"/>
        <v>0</v>
      </c>
      <c r="E278" s="50">
        <f t="shared" si="115"/>
        <v>12522.509641842451</v>
      </c>
      <c r="F278" s="50">
        <f t="shared" si="115"/>
        <v>20657.913776094421</v>
      </c>
      <c r="G278" s="50">
        <f t="shared" si="115"/>
        <v>0</v>
      </c>
      <c r="H278" s="50">
        <f t="shared" si="115"/>
        <v>123772.16757785523</v>
      </c>
      <c r="I278" s="50">
        <f t="shared" si="115"/>
        <v>0</v>
      </c>
      <c r="J278" s="50">
        <f t="shared" si="115"/>
        <v>114931.82177724334</v>
      </c>
      <c r="K278" s="50">
        <f t="shared" si="115"/>
        <v>0</v>
      </c>
      <c r="L278" s="50">
        <f t="shared" si="115"/>
        <v>0</v>
      </c>
      <c r="M278" s="50">
        <f t="shared" si="115"/>
        <v>0</v>
      </c>
      <c r="N278" s="50">
        <f t="shared" si="115"/>
        <v>0</v>
      </c>
      <c r="O278" s="50">
        <f t="shared" si="115"/>
        <v>0</v>
      </c>
      <c r="P278" s="53"/>
      <c r="Q278" s="5">
        <f>G278+N278</f>
        <v>0</v>
      </c>
      <c r="R278" s="5">
        <f>SUM(K278:L278)</f>
        <v>0</v>
      </c>
      <c r="T278" s="5">
        <f>SUM(C278:O278)</f>
        <v>324827.04850555689</v>
      </c>
      <c r="Y278" s="60"/>
    </row>
    <row r="279" spans="1:37" s="11" customFormat="1" x14ac:dyDescent="0.3"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Q279" s="62"/>
      <c r="R279" s="62"/>
      <c r="S279" s="62"/>
      <c r="T279" s="57"/>
      <c r="U279" s="57"/>
      <c r="V279" s="57"/>
      <c r="W279" s="57"/>
      <c r="X279" s="57"/>
      <c r="Z279" s="78"/>
      <c r="AA279" s="78"/>
      <c r="AB279" s="78"/>
      <c r="AC279" s="12"/>
      <c r="AD279" s="12"/>
      <c r="AF279" s="12"/>
      <c r="AG279" s="12"/>
      <c r="AI279" s="12"/>
    </row>
    <row r="280" spans="1:37" s="11" customFormat="1" x14ac:dyDescent="0.3"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Q280" s="62"/>
      <c r="R280" s="62"/>
      <c r="S280" s="62"/>
      <c r="T280" s="57"/>
      <c r="U280" s="57"/>
      <c r="V280" s="57"/>
      <c r="W280" s="57"/>
      <c r="X280" s="57"/>
      <c r="Z280" s="78"/>
      <c r="AA280" s="78"/>
      <c r="AB280" s="78"/>
      <c r="AC280" s="12"/>
      <c r="AD280" s="12"/>
      <c r="AF280" s="12"/>
      <c r="AG280" s="12"/>
      <c r="AJ280" s="12"/>
    </row>
    <row r="281" spans="1:37" s="11" customFormat="1" x14ac:dyDescent="0.3"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Q281" s="62"/>
      <c r="R281" s="62"/>
      <c r="S281" s="62"/>
      <c r="T281" s="57"/>
      <c r="U281" s="57"/>
      <c r="V281" s="57"/>
      <c r="W281" s="57"/>
      <c r="X281" s="57"/>
      <c r="AG281" s="12"/>
      <c r="AJ281" s="12"/>
    </row>
    <row r="282" spans="1:37" s="11" customFormat="1" x14ac:dyDescent="0.3"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Q282" s="62"/>
      <c r="R282" s="62"/>
      <c r="S282" s="62"/>
      <c r="T282" s="57"/>
      <c r="U282" s="57"/>
      <c r="V282" s="57"/>
      <c r="W282" s="57"/>
      <c r="X282" s="57"/>
      <c r="AF282" s="12"/>
      <c r="AG282" s="12"/>
    </row>
    <row r="283" spans="1:37" s="11" customFormat="1" x14ac:dyDescent="0.3">
      <c r="AF283" s="12"/>
      <c r="AG283" s="12"/>
      <c r="AH283" s="12"/>
      <c r="AK283" s="12"/>
    </row>
    <row r="284" spans="1:37" s="11" customFormat="1" x14ac:dyDescent="0.3">
      <c r="B284" s="25"/>
      <c r="C284" s="25"/>
      <c r="D284" s="25"/>
      <c r="E284" s="25"/>
      <c r="F284" s="60"/>
      <c r="G284" s="60"/>
      <c r="H284" s="25"/>
      <c r="I284" s="25"/>
      <c r="J284" s="25"/>
      <c r="K284" s="25"/>
      <c r="L284" s="25"/>
      <c r="M284" s="25"/>
      <c r="N284" s="25"/>
      <c r="O284" s="25"/>
      <c r="Q284" s="25"/>
      <c r="R284" s="25"/>
      <c r="S284" s="25"/>
      <c r="T284" s="25"/>
      <c r="U284" s="25"/>
      <c r="V284" s="25"/>
      <c r="X284" s="25"/>
      <c r="Y284" s="25"/>
      <c r="Z284" s="25"/>
      <c r="AA284" s="25"/>
      <c r="AG284" s="12"/>
    </row>
    <row r="285" spans="1:37" s="11" customFormat="1" x14ac:dyDescent="0.3">
      <c r="A285" s="20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Q285" s="62"/>
      <c r="R285" s="62"/>
      <c r="S285" s="62"/>
      <c r="T285" s="57"/>
      <c r="U285" s="57"/>
      <c r="V285" s="57"/>
      <c r="W285" s="57"/>
      <c r="X285" s="57"/>
      <c r="Y285" s="24"/>
      <c r="Z285" s="24"/>
      <c r="AA285" s="26"/>
      <c r="AD285" s="12"/>
      <c r="AF285" s="12"/>
      <c r="AG285" s="12"/>
      <c r="AH285" s="12"/>
      <c r="AJ285" s="12"/>
      <c r="AK285" s="12"/>
    </row>
    <row r="286" spans="1:37" s="11" customFormat="1" x14ac:dyDescent="0.3">
      <c r="A286" s="20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Q286" s="62"/>
      <c r="R286" s="62"/>
      <c r="S286" s="62"/>
      <c r="T286" s="57"/>
      <c r="U286" s="57"/>
      <c r="V286" s="57"/>
      <c r="W286" s="57"/>
      <c r="X286" s="57"/>
      <c r="Y286" s="24"/>
      <c r="Z286" s="24"/>
      <c r="AA286" s="26"/>
      <c r="AC286" s="12"/>
      <c r="AD286" s="12"/>
      <c r="AF286" s="12"/>
      <c r="AG286" s="12"/>
      <c r="AI286" s="12"/>
      <c r="AJ286" s="12"/>
    </row>
    <row r="287" spans="1:37" s="11" customFormat="1" x14ac:dyDescent="0.3">
      <c r="A287" s="20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Q287" s="62"/>
      <c r="R287" s="62"/>
      <c r="S287" s="62"/>
      <c r="T287" s="57"/>
      <c r="U287" s="57"/>
      <c r="V287" s="57"/>
      <c r="W287" s="57"/>
      <c r="X287" s="57"/>
      <c r="Y287" s="24"/>
      <c r="Z287" s="24"/>
      <c r="AA287" s="26"/>
      <c r="AC287" s="12"/>
      <c r="AD287" s="12"/>
      <c r="AF287" s="12"/>
      <c r="AG287" s="12"/>
      <c r="AI287" s="12"/>
      <c r="AJ287" s="12"/>
    </row>
    <row r="288" spans="1:37" s="11" customFormat="1" x14ac:dyDescent="0.3">
      <c r="A288" s="20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Q288" s="62"/>
      <c r="R288" s="62"/>
      <c r="S288" s="62"/>
      <c r="T288" s="57"/>
      <c r="U288" s="57"/>
      <c r="V288" s="57"/>
      <c r="W288" s="57"/>
      <c r="X288" s="57"/>
      <c r="Y288" s="24"/>
      <c r="Z288" s="24"/>
      <c r="AA288" s="26"/>
      <c r="AC288" s="12"/>
      <c r="AF288" s="12"/>
      <c r="AI288" s="12"/>
    </row>
    <row r="289" spans="2:36" s="11" customFormat="1" x14ac:dyDescent="0.3">
      <c r="AC289" s="12"/>
      <c r="AD289" s="12"/>
      <c r="AF289" s="12"/>
      <c r="AG289" s="12"/>
      <c r="AI289" s="12"/>
      <c r="AJ289" s="12"/>
    </row>
    <row r="290" spans="2:36" s="11" customFormat="1" x14ac:dyDescent="0.3"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Q290" s="26"/>
      <c r="R290" s="26"/>
      <c r="S290" s="26"/>
      <c r="T290" s="28"/>
      <c r="U290" s="28"/>
      <c r="V290" s="28"/>
      <c r="X290" s="27"/>
    </row>
    <row r="291" spans="2:36" s="11" customFormat="1" x14ac:dyDescent="0.3"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Q291" s="26"/>
      <c r="R291" s="26"/>
      <c r="S291" s="26"/>
      <c r="T291" s="28"/>
      <c r="U291" s="28"/>
      <c r="V291" s="28"/>
      <c r="X291" s="27"/>
    </row>
    <row r="292" spans="2:36" s="11" customFormat="1" x14ac:dyDescent="0.3"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Q292" s="26"/>
      <c r="R292" s="26"/>
      <c r="S292" s="26"/>
      <c r="T292" s="28"/>
      <c r="U292" s="28"/>
      <c r="V292" s="28"/>
      <c r="X292" s="27"/>
      <c r="AE292" s="12"/>
    </row>
    <row r="293" spans="2:36" s="11" customFormat="1" x14ac:dyDescent="0.3"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Q293" s="26"/>
      <c r="R293" s="26"/>
      <c r="S293" s="26"/>
      <c r="T293" s="28"/>
      <c r="U293" s="28"/>
      <c r="V293" s="28"/>
      <c r="X293" s="27"/>
    </row>
    <row r="294" spans="2:36" s="11" customFormat="1" x14ac:dyDescent="0.3"/>
    <row r="295" spans="2:36" s="58" customFormat="1" ht="21" x14ac:dyDescent="0.4">
      <c r="B295" s="59"/>
      <c r="P295" s="11"/>
    </row>
    <row r="296" spans="2:36" s="58" customFormat="1" ht="21" x14ac:dyDescent="0.4">
      <c r="B296" s="59"/>
      <c r="P296" s="11"/>
    </row>
    <row r="297" spans="2:36" s="11" customFormat="1" x14ac:dyDescent="0.3">
      <c r="B297" s="3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Q297" s="64"/>
      <c r="R297" s="64"/>
      <c r="S297" s="64"/>
    </row>
    <row r="298" spans="2:36" s="11" customFormat="1" x14ac:dyDescent="0.3">
      <c r="B298" s="25"/>
      <c r="C298" s="25"/>
      <c r="D298" s="25"/>
      <c r="E298" s="25"/>
      <c r="F298" s="60"/>
      <c r="G298" s="60"/>
      <c r="H298" s="25"/>
      <c r="I298" s="25"/>
      <c r="J298" s="25"/>
      <c r="K298" s="25"/>
      <c r="L298" s="25"/>
      <c r="M298" s="25"/>
      <c r="N298" s="25"/>
      <c r="O298" s="25"/>
      <c r="Q298" s="25"/>
      <c r="R298" s="25"/>
      <c r="S298" s="25"/>
      <c r="T298" s="25"/>
      <c r="U298" s="25"/>
      <c r="V298" s="25"/>
      <c r="X298" s="25"/>
    </row>
    <row r="299" spans="2:36" s="11" customFormat="1" x14ac:dyDescent="0.3"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Q299" s="26"/>
      <c r="R299" s="26"/>
      <c r="S299" s="26"/>
      <c r="T299" s="63"/>
      <c r="U299" s="63"/>
      <c r="V299" s="63"/>
      <c r="W299" s="57"/>
      <c r="X299" s="57"/>
    </row>
    <row r="300" spans="2:36" s="11" customFormat="1" x14ac:dyDescent="0.3"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Q300" s="26"/>
      <c r="R300" s="26"/>
      <c r="S300" s="26"/>
      <c r="T300" s="63"/>
      <c r="U300" s="63"/>
      <c r="V300" s="63"/>
      <c r="W300" s="57"/>
      <c r="X300" s="57"/>
    </row>
    <row r="301" spans="2:36" s="11" customFormat="1" x14ac:dyDescent="0.3"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Q301" s="26"/>
      <c r="R301" s="26"/>
      <c r="S301" s="26"/>
      <c r="T301" s="63"/>
      <c r="U301" s="63"/>
      <c r="V301" s="63"/>
      <c r="W301" s="57"/>
      <c r="X301" s="57"/>
    </row>
    <row r="302" spans="2:36" s="11" customFormat="1" x14ac:dyDescent="0.3"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Q302" s="26"/>
      <c r="R302" s="26"/>
      <c r="S302" s="26"/>
      <c r="T302" s="63"/>
      <c r="U302" s="63"/>
      <c r="V302" s="63"/>
      <c r="W302" s="57"/>
      <c r="X302" s="57"/>
    </row>
    <row r="303" spans="2:36" s="11" customFormat="1" x14ac:dyDescent="0.3"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Q303" s="28"/>
      <c r="R303" s="28"/>
      <c r="S303" s="28"/>
      <c r="T303" s="57"/>
      <c r="U303" s="57"/>
      <c r="V303" s="57"/>
      <c r="W303" s="57"/>
      <c r="X303" s="57"/>
    </row>
    <row r="304" spans="2:36" s="11" customFormat="1" x14ac:dyDescent="0.3">
      <c r="B304" s="25"/>
      <c r="C304" s="65"/>
      <c r="D304" s="2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Q304" s="25"/>
      <c r="R304" s="65"/>
      <c r="S304" s="65"/>
      <c r="T304" s="25"/>
      <c r="U304" s="25"/>
      <c r="V304" s="25"/>
      <c r="X304" s="25"/>
    </row>
    <row r="305" spans="2:24" s="11" customFormat="1" x14ac:dyDescent="0.3"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Q305" s="26"/>
      <c r="R305" s="26"/>
      <c r="S305" s="26"/>
      <c r="T305" s="63"/>
      <c r="U305" s="63"/>
      <c r="V305" s="63"/>
      <c r="W305" s="57"/>
      <c r="X305" s="57"/>
    </row>
    <row r="306" spans="2:24" s="11" customFormat="1" x14ac:dyDescent="0.3"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Q306" s="26"/>
      <c r="R306" s="26"/>
      <c r="S306" s="26"/>
      <c r="T306" s="63"/>
      <c r="U306" s="63"/>
      <c r="V306" s="63"/>
      <c r="W306" s="57"/>
      <c r="X306" s="57"/>
    </row>
    <row r="307" spans="2:24" s="11" customFormat="1" x14ac:dyDescent="0.3"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Q307" s="26"/>
      <c r="R307" s="26"/>
      <c r="S307" s="26"/>
      <c r="T307" s="63"/>
      <c r="U307" s="63"/>
      <c r="V307" s="63"/>
      <c r="W307" s="57"/>
      <c r="X307" s="57"/>
    </row>
    <row r="308" spans="2:24" s="11" customFormat="1" x14ac:dyDescent="0.3"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Q308" s="26"/>
      <c r="R308" s="26"/>
      <c r="S308" s="26"/>
      <c r="T308" s="63"/>
      <c r="U308" s="63"/>
      <c r="V308" s="63"/>
      <c r="W308" s="57"/>
      <c r="X308" s="57"/>
    </row>
    <row r="309" spans="2:24" s="11" customFormat="1" x14ac:dyDescent="0.3"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Q309" s="28"/>
      <c r="R309" s="28"/>
      <c r="S309" s="28"/>
    </row>
    <row r="310" spans="2:24" s="11" customFormat="1" x14ac:dyDescent="0.3">
      <c r="B310" s="25"/>
      <c r="C310" s="65"/>
      <c r="D310" s="2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Q310" s="25"/>
      <c r="R310" s="65"/>
      <c r="S310" s="65"/>
      <c r="T310" s="25"/>
      <c r="U310" s="25"/>
      <c r="V310" s="25"/>
      <c r="X310" s="25"/>
    </row>
    <row r="311" spans="2:24" s="11" customFormat="1" x14ac:dyDescent="0.3"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Q311" s="26"/>
      <c r="R311" s="26"/>
      <c r="S311" s="26"/>
      <c r="T311" s="63"/>
      <c r="U311" s="63"/>
      <c r="V311" s="63"/>
      <c r="W311" s="57"/>
      <c r="X311" s="57"/>
    </row>
    <row r="312" spans="2:24" s="11" customFormat="1" x14ac:dyDescent="0.3"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Q312" s="26"/>
      <c r="R312" s="26"/>
      <c r="S312" s="26"/>
      <c r="T312" s="63"/>
      <c r="U312" s="63"/>
      <c r="V312" s="63"/>
      <c r="W312" s="57"/>
      <c r="X312" s="57"/>
    </row>
    <row r="313" spans="2:24" s="11" customFormat="1" x14ac:dyDescent="0.3"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Q313" s="26"/>
      <c r="R313" s="26"/>
      <c r="S313" s="26"/>
      <c r="T313" s="63"/>
      <c r="U313" s="63"/>
      <c r="V313" s="63"/>
      <c r="W313" s="57"/>
      <c r="X313" s="57"/>
    </row>
    <row r="314" spans="2:24" s="11" customFormat="1" x14ac:dyDescent="0.3"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Q314" s="26"/>
      <c r="R314" s="26"/>
      <c r="S314" s="26"/>
      <c r="T314" s="63"/>
      <c r="U314" s="63"/>
      <c r="V314" s="63"/>
      <c r="W314" s="57"/>
      <c r="X314" s="57"/>
    </row>
    <row r="315" spans="2:24" s="11" customFormat="1" x14ac:dyDescent="0.3"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Q315" s="28"/>
      <c r="R315" s="28"/>
      <c r="S315" s="28"/>
    </row>
    <row r="316" spans="2:24" s="11" customFormat="1" x14ac:dyDescent="0.3">
      <c r="C316" s="12"/>
      <c r="D316" s="12"/>
      <c r="E316" s="14"/>
      <c r="F316" s="14"/>
      <c r="G316" s="14"/>
      <c r="H316" s="16"/>
      <c r="I316" s="14"/>
      <c r="J316" s="14"/>
      <c r="K316" s="16"/>
      <c r="L316" s="14"/>
      <c r="M316" s="16"/>
      <c r="N316" s="20"/>
      <c r="O316" s="20"/>
    </row>
    <row r="317" spans="2:24" s="58" customFormat="1" ht="21" x14ac:dyDescent="0.4">
      <c r="B317" s="59"/>
      <c r="P317" s="11"/>
    </row>
    <row r="318" spans="2:24" s="58" customFormat="1" ht="21" x14ac:dyDescent="0.4">
      <c r="B318" s="59"/>
      <c r="P318" s="11"/>
    </row>
    <row r="319" spans="2:24" s="58" customFormat="1" x14ac:dyDescent="0.3">
      <c r="B319" s="67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11"/>
      <c r="Q319" s="62"/>
      <c r="R319" s="62"/>
      <c r="S319" s="61"/>
    </row>
    <row r="320" spans="2:24" s="11" customFormat="1" x14ac:dyDescent="0.3">
      <c r="B320" s="25"/>
      <c r="C320" s="25"/>
      <c r="D320" s="25"/>
      <c r="E320" s="25"/>
      <c r="F320" s="60"/>
      <c r="G320" s="60"/>
      <c r="H320" s="25"/>
      <c r="I320" s="25"/>
      <c r="J320" s="25"/>
      <c r="K320" s="25"/>
      <c r="L320" s="25"/>
      <c r="M320" s="25"/>
      <c r="N320" s="25"/>
      <c r="O320" s="25"/>
      <c r="Q320" s="25"/>
      <c r="R320" s="25"/>
      <c r="S320" s="25"/>
      <c r="T320" s="25"/>
      <c r="U320" s="25"/>
      <c r="V320" s="25"/>
      <c r="X320" s="25"/>
    </row>
    <row r="321" spans="2:27" s="11" customFormat="1" x14ac:dyDescent="0.3"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Q321" s="62"/>
      <c r="R321" s="62"/>
      <c r="S321" s="62"/>
      <c r="T321" s="57"/>
      <c r="U321" s="57"/>
      <c r="V321" s="57"/>
      <c r="W321" s="57"/>
      <c r="X321" s="57"/>
    </row>
    <row r="322" spans="2:27" s="11" customFormat="1" x14ac:dyDescent="0.3"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Q322" s="62"/>
      <c r="R322" s="62"/>
      <c r="S322" s="62"/>
      <c r="T322" s="57"/>
      <c r="U322" s="57"/>
      <c r="V322" s="57"/>
      <c r="W322" s="57"/>
      <c r="X322" s="57"/>
    </row>
    <row r="323" spans="2:27" s="11" customFormat="1" x14ac:dyDescent="0.3"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Q323" s="62"/>
      <c r="R323" s="62"/>
      <c r="S323" s="62"/>
      <c r="T323" s="57"/>
      <c r="U323" s="57"/>
      <c r="V323" s="57"/>
      <c r="W323" s="57"/>
      <c r="X323" s="57"/>
    </row>
    <row r="324" spans="2:27" s="11" customFormat="1" x14ac:dyDescent="0.3"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Q324" s="62"/>
      <c r="R324" s="62"/>
      <c r="S324" s="62"/>
      <c r="T324" s="57"/>
      <c r="U324" s="57"/>
      <c r="V324" s="57"/>
      <c r="W324" s="57"/>
      <c r="X324" s="57"/>
    </row>
    <row r="325" spans="2:27" s="11" customFormat="1" x14ac:dyDescent="0.3">
      <c r="T325" s="57"/>
      <c r="U325" s="57"/>
      <c r="V325" s="57"/>
      <c r="W325" s="57"/>
      <c r="X325" s="57"/>
    </row>
    <row r="326" spans="2:27" s="11" customFormat="1" x14ac:dyDescent="0.3">
      <c r="B326" s="25"/>
      <c r="C326" s="25"/>
      <c r="D326" s="25"/>
      <c r="E326" s="25"/>
      <c r="F326" s="60"/>
      <c r="G326" s="60"/>
      <c r="H326" s="25"/>
      <c r="I326" s="25"/>
      <c r="J326" s="25"/>
      <c r="K326" s="25"/>
      <c r="L326" s="25"/>
      <c r="M326" s="25"/>
      <c r="N326" s="25"/>
      <c r="O326" s="25"/>
      <c r="Q326" s="25"/>
      <c r="R326" s="25"/>
      <c r="S326" s="25"/>
      <c r="T326" s="25"/>
      <c r="U326" s="25"/>
      <c r="V326" s="25"/>
      <c r="X326" s="25"/>
    </row>
    <row r="327" spans="2:27" s="11" customFormat="1" x14ac:dyDescent="0.3"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Q327" s="62"/>
      <c r="R327" s="62"/>
      <c r="S327" s="62"/>
      <c r="T327" s="57"/>
      <c r="U327" s="57"/>
      <c r="V327" s="57"/>
      <c r="W327" s="57"/>
      <c r="X327" s="57"/>
    </row>
    <row r="328" spans="2:27" s="11" customFormat="1" x14ac:dyDescent="0.3"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Q328" s="62"/>
      <c r="R328" s="62"/>
      <c r="S328" s="62"/>
      <c r="T328" s="57"/>
      <c r="U328" s="57"/>
      <c r="V328" s="57"/>
      <c r="W328" s="57"/>
      <c r="X328" s="57"/>
    </row>
    <row r="329" spans="2:27" s="11" customFormat="1" x14ac:dyDescent="0.3"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Q329" s="62"/>
      <c r="R329" s="62"/>
      <c r="S329" s="62"/>
      <c r="T329" s="57"/>
      <c r="U329" s="57"/>
      <c r="V329" s="57"/>
      <c r="W329" s="57"/>
      <c r="X329" s="57"/>
    </row>
    <row r="330" spans="2:27" s="11" customFormat="1" x14ac:dyDescent="0.3"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Q330" s="62"/>
      <c r="R330" s="62"/>
      <c r="S330" s="62"/>
      <c r="T330" s="57"/>
      <c r="U330" s="57"/>
      <c r="V330" s="57"/>
      <c r="W330" s="57"/>
      <c r="X330" s="57"/>
    </row>
    <row r="331" spans="2:27" s="11" customFormat="1" x14ac:dyDescent="0.3"/>
    <row r="332" spans="2:27" s="11" customFormat="1" x14ac:dyDescent="0.3">
      <c r="B332" s="25"/>
      <c r="C332" s="25"/>
      <c r="D332" s="25"/>
      <c r="E332" s="25"/>
      <c r="F332" s="60"/>
      <c r="G332" s="60"/>
      <c r="H332" s="25"/>
      <c r="I332" s="25"/>
      <c r="J332" s="25"/>
      <c r="K332" s="25"/>
      <c r="L332" s="25"/>
      <c r="M332" s="25"/>
      <c r="N332" s="25"/>
      <c r="O332" s="25"/>
      <c r="Q332" s="25"/>
      <c r="R332" s="25"/>
      <c r="S332" s="25"/>
      <c r="T332" s="25"/>
      <c r="U332" s="25"/>
      <c r="V332" s="25"/>
      <c r="X332" s="25"/>
      <c r="Y332" s="25"/>
      <c r="Z332" s="25"/>
      <c r="AA332" s="25"/>
    </row>
    <row r="333" spans="2:27" s="11" customFormat="1" x14ac:dyDescent="0.3"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Q333" s="62"/>
      <c r="R333" s="62"/>
      <c r="S333" s="62"/>
      <c r="T333" s="57"/>
      <c r="U333" s="57"/>
      <c r="V333" s="57"/>
      <c r="W333" s="57"/>
      <c r="X333" s="57"/>
      <c r="Y333" s="35"/>
      <c r="Z333" s="24"/>
      <c r="AA333" s="26"/>
    </row>
    <row r="334" spans="2:27" s="11" customFormat="1" x14ac:dyDescent="0.3"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Q334" s="62"/>
      <c r="R334" s="62"/>
      <c r="S334" s="62"/>
      <c r="T334" s="57"/>
      <c r="U334" s="57"/>
      <c r="V334" s="57"/>
      <c r="W334" s="57"/>
      <c r="X334" s="57"/>
      <c r="Y334" s="35"/>
      <c r="Z334" s="24"/>
      <c r="AA334" s="26"/>
    </row>
    <row r="335" spans="2:27" s="11" customFormat="1" x14ac:dyDescent="0.3"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Q335" s="62"/>
      <c r="R335" s="62"/>
      <c r="S335" s="62"/>
      <c r="T335" s="57"/>
      <c r="U335" s="57"/>
      <c r="V335" s="57"/>
      <c r="W335" s="57"/>
      <c r="X335" s="57"/>
      <c r="Y335" s="35"/>
      <c r="Z335" s="24"/>
      <c r="AA335" s="26"/>
    </row>
    <row r="336" spans="2:27" s="11" customFormat="1" x14ac:dyDescent="0.3"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Q336" s="62"/>
      <c r="R336" s="62"/>
      <c r="S336" s="62"/>
      <c r="T336" s="57"/>
      <c r="U336" s="57"/>
      <c r="V336" s="57"/>
      <c r="W336" s="57"/>
      <c r="X336" s="57"/>
      <c r="Y336" s="35"/>
      <c r="Z336" s="24"/>
      <c r="AA336" s="26"/>
    </row>
    <row r="337" spans="2:24" s="11" customFormat="1" x14ac:dyDescent="0.3"/>
    <row r="338" spans="2:24" s="11" customFormat="1" x14ac:dyDescent="0.3"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Q338" s="29"/>
      <c r="R338" s="29"/>
      <c r="S338" s="29"/>
      <c r="T338" s="28"/>
      <c r="U338" s="28"/>
      <c r="V338" s="28"/>
      <c r="X338" s="27"/>
    </row>
    <row r="339" spans="2:24" s="11" customFormat="1" x14ac:dyDescent="0.3"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Q339" s="29"/>
      <c r="R339" s="29"/>
      <c r="S339" s="29"/>
      <c r="T339" s="28"/>
      <c r="U339" s="28"/>
      <c r="V339" s="28"/>
      <c r="X339" s="27"/>
    </row>
    <row r="340" spans="2:24" s="11" customFormat="1" x14ac:dyDescent="0.3"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Q340" s="29"/>
      <c r="R340" s="29"/>
      <c r="S340" s="29"/>
      <c r="T340" s="28"/>
      <c r="U340" s="28"/>
      <c r="V340" s="28"/>
      <c r="X340" s="27"/>
    </row>
    <row r="341" spans="2:24" s="11" customFormat="1" x14ac:dyDescent="0.3"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Q341" s="29"/>
      <c r="R341" s="29"/>
      <c r="S341" s="29"/>
      <c r="T341" s="28"/>
      <c r="U341" s="28"/>
      <c r="V341" s="28"/>
      <c r="X341" s="27"/>
    </row>
    <row r="342" spans="2:24" s="11" customFormat="1" x14ac:dyDescent="0.3"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Q342" s="29"/>
      <c r="R342" s="29"/>
      <c r="S342" s="29"/>
      <c r="T342" s="28"/>
      <c r="U342" s="28"/>
      <c r="V342" s="28"/>
      <c r="X342" s="27"/>
    </row>
    <row r="343" spans="2:24" s="58" customFormat="1" ht="21" x14ac:dyDescent="0.4">
      <c r="B343" s="59"/>
      <c r="P343" s="11"/>
    </row>
    <row r="344" spans="2:24" s="58" customFormat="1" ht="21" x14ac:dyDescent="0.4">
      <c r="B344" s="59"/>
      <c r="P344" s="11"/>
    </row>
    <row r="345" spans="2:24" s="58" customFormat="1" ht="15.75" customHeight="1" x14ac:dyDescent="0.3">
      <c r="B345" s="67"/>
      <c r="C345" s="62"/>
      <c r="D345" s="56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11"/>
      <c r="Q345" s="62"/>
      <c r="R345" s="62"/>
      <c r="S345" s="61"/>
    </row>
    <row r="346" spans="2:24" s="58" customFormat="1" x14ac:dyDescent="0.3">
      <c r="B346" s="67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11"/>
      <c r="Q346" s="62"/>
      <c r="R346" s="62"/>
      <c r="S346" s="61"/>
    </row>
    <row r="347" spans="2:24" s="58" customFormat="1" x14ac:dyDescent="0.3">
      <c r="B347" s="67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11"/>
      <c r="Q347" s="53"/>
      <c r="R347" s="53"/>
      <c r="S347" s="53"/>
    </row>
    <row r="348" spans="2:24" s="11" customFormat="1" x14ac:dyDescent="0.3">
      <c r="B348" s="25"/>
      <c r="C348" s="25"/>
      <c r="D348" s="25"/>
      <c r="E348" s="25"/>
      <c r="F348" s="60"/>
      <c r="G348" s="60"/>
      <c r="H348" s="25"/>
      <c r="I348" s="25"/>
      <c r="J348" s="25"/>
      <c r="K348" s="25"/>
      <c r="L348" s="25"/>
      <c r="M348" s="25"/>
      <c r="N348" s="25"/>
      <c r="O348" s="25"/>
      <c r="Q348" s="25"/>
      <c r="R348" s="25"/>
      <c r="S348" s="25"/>
      <c r="T348" s="25"/>
      <c r="U348" s="25"/>
      <c r="V348" s="25"/>
      <c r="X348" s="25"/>
    </row>
    <row r="349" spans="2:24" s="11" customFormat="1" x14ac:dyDescent="0.3"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Q349" s="62"/>
      <c r="R349" s="62"/>
      <c r="S349" s="62"/>
      <c r="T349" s="57"/>
      <c r="U349" s="57"/>
      <c r="V349" s="57"/>
      <c r="W349" s="57"/>
      <c r="X349" s="57"/>
    </row>
    <row r="350" spans="2:24" s="11" customFormat="1" x14ac:dyDescent="0.3"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Q350" s="62"/>
      <c r="R350" s="62"/>
      <c r="S350" s="62"/>
      <c r="T350" s="57"/>
      <c r="U350" s="57"/>
      <c r="V350" s="57"/>
      <c r="W350" s="57"/>
      <c r="X350" s="57"/>
    </row>
    <row r="351" spans="2:24" s="11" customFormat="1" x14ac:dyDescent="0.3"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Q351" s="62"/>
      <c r="R351" s="62"/>
      <c r="S351" s="62"/>
      <c r="T351" s="57"/>
      <c r="U351" s="57"/>
      <c r="V351" s="57"/>
      <c r="W351" s="57"/>
      <c r="X351" s="57"/>
    </row>
    <row r="352" spans="2:24" s="11" customFormat="1" x14ac:dyDescent="0.3"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Q352" s="62"/>
      <c r="R352" s="62"/>
      <c r="S352" s="62"/>
      <c r="T352" s="57"/>
      <c r="U352" s="57"/>
      <c r="V352" s="57"/>
      <c r="W352" s="57"/>
      <c r="X352" s="57"/>
    </row>
    <row r="353" spans="2:27" s="11" customFormat="1" x14ac:dyDescent="0.3"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Q353" s="69"/>
      <c r="R353" s="69"/>
      <c r="S353" s="69"/>
      <c r="T353" s="57"/>
      <c r="U353" s="57"/>
      <c r="V353" s="57"/>
      <c r="W353" s="57"/>
      <c r="X353" s="57"/>
    </row>
    <row r="354" spans="2:27" s="11" customFormat="1" x14ac:dyDescent="0.3">
      <c r="T354" s="57"/>
      <c r="U354" s="57"/>
      <c r="V354" s="57"/>
      <c r="W354" s="57"/>
      <c r="X354" s="57"/>
    </row>
    <row r="355" spans="2:27" s="11" customFormat="1" x14ac:dyDescent="0.3">
      <c r="B355" s="67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Q355" s="56"/>
      <c r="R355" s="56"/>
      <c r="S355" s="56"/>
      <c r="T355" s="57"/>
      <c r="U355" s="57"/>
      <c r="V355" s="57"/>
      <c r="W355" s="57"/>
      <c r="X355" s="57"/>
    </row>
    <row r="356" spans="2:27" s="58" customFormat="1" x14ac:dyDescent="0.3">
      <c r="B356" s="11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11"/>
      <c r="Q356" s="56"/>
      <c r="R356" s="56"/>
      <c r="S356" s="56"/>
      <c r="T356" s="57"/>
      <c r="U356" s="57"/>
      <c r="V356" s="57"/>
      <c r="W356" s="57"/>
      <c r="X356" s="57"/>
      <c r="Y356" s="11"/>
    </row>
    <row r="357" spans="2:27" s="58" customFormat="1" x14ac:dyDescent="0.3">
      <c r="B357" s="11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11"/>
      <c r="Q357" s="56"/>
      <c r="R357" s="56"/>
      <c r="S357" s="56"/>
      <c r="T357" s="57"/>
      <c r="U357" s="57"/>
      <c r="V357" s="57"/>
      <c r="W357" s="57"/>
      <c r="X357" s="57"/>
      <c r="Y357" s="11"/>
    </row>
    <row r="358" spans="2:27" s="11" customFormat="1" x14ac:dyDescent="0.3"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Q358" s="56"/>
      <c r="R358" s="56"/>
      <c r="S358" s="56"/>
      <c r="T358" s="57"/>
      <c r="U358" s="57"/>
      <c r="V358" s="57"/>
      <c r="W358" s="57"/>
      <c r="X358" s="57"/>
    </row>
    <row r="359" spans="2:27" s="11" customFormat="1" x14ac:dyDescent="0.3">
      <c r="B359" s="67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Q359" s="56"/>
      <c r="R359" s="56"/>
      <c r="S359" s="56"/>
      <c r="T359" s="58"/>
      <c r="U359" s="58"/>
      <c r="V359" s="58"/>
      <c r="W359" s="58"/>
      <c r="X359" s="58"/>
      <c r="Y359" s="58"/>
    </row>
    <row r="360" spans="2:27" s="11" customFormat="1" x14ac:dyDescent="0.3"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Q360" s="56"/>
      <c r="R360" s="56"/>
      <c r="S360" s="56"/>
      <c r="T360" s="57"/>
      <c r="U360" s="57"/>
      <c r="V360" s="57"/>
      <c r="W360" s="57"/>
      <c r="X360" s="57"/>
      <c r="Y360" s="58"/>
    </row>
    <row r="361" spans="2:27" s="11" customFormat="1" x14ac:dyDescent="0.3"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Q361" s="56"/>
      <c r="R361" s="56"/>
      <c r="S361" s="56"/>
      <c r="T361" s="57"/>
      <c r="U361" s="57"/>
      <c r="V361" s="57"/>
      <c r="W361" s="57"/>
      <c r="X361" s="57"/>
      <c r="Y361" s="58"/>
    </row>
    <row r="362" spans="2:27" s="11" customFormat="1" x14ac:dyDescent="0.3"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Q362" s="56"/>
      <c r="R362" s="56"/>
      <c r="S362" s="56"/>
      <c r="T362" s="57"/>
      <c r="U362" s="57"/>
      <c r="V362" s="57"/>
      <c r="W362" s="57"/>
      <c r="X362" s="57"/>
      <c r="Y362" s="58"/>
    </row>
    <row r="363" spans="2:27" s="11" customFormat="1" x14ac:dyDescent="0.3">
      <c r="B363" s="67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Q363" s="70"/>
      <c r="R363" s="70"/>
      <c r="S363" s="70"/>
      <c r="T363" s="58"/>
      <c r="U363" s="58"/>
      <c r="V363" s="58"/>
      <c r="W363" s="58"/>
      <c r="X363" s="58"/>
      <c r="Y363" s="58"/>
    </row>
    <row r="364" spans="2:27" s="11" customFormat="1" x14ac:dyDescent="0.3"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Q364" s="70"/>
      <c r="R364" s="70"/>
      <c r="S364" s="70"/>
      <c r="T364" s="57"/>
      <c r="U364" s="57"/>
      <c r="V364" s="57"/>
      <c r="W364" s="57"/>
      <c r="X364" s="57"/>
      <c r="Y364" s="58"/>
      <c r="Z364" s="25"/>
      <c r="AA364" s="25"/>
    </row>
    <row r="365" spans="2:27" s="11" customFormat="1" x14ac:dyDescent="0.3"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Q365" s="70"/>
      <c r="R365" s="70"/>
      <c r="S365" s="70"/>
      <c r="T365" s="57"/>
      <c r="U365" s="57"/>
      <c r="V365" s="57"/>
      <c r="W365" s="57"/>
      <c r="X365" s="57"/>
      <c r="Y365" s="58"/>
      <c r="Z365" s="24"/>
      <c r="AA365" s="26"/>
    </row>
    <row r="366" spans="2:27" s="11" customFormat="1" x14ac:dyDescent="0.3"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Q366" s="70"/>
      <c r="R366" s="70"/>
      <c r="S366" s="70"/>
      <c r="T366" s="57"/>
      <c r="U366" s="57"/>
      <c r="V366" s="57"/>
      <c r="W366" s="57"/>
      <c r="X366" s="57"/>
      <c r="Y366" s="58"/>
      <c r="Z366" s="24"/>
      <c r="AA366" s="26"/>
    </row>
    <row r="367" spans="2:27" s="11" customFormat="1" x14ac:dyDescent="0.3">
      <c r="B367" s="25"/>
      <c r="C367" s="25"/>
      <c r="D367" s="25"/>
      <c r="E367" s="25"/>
      <c r="F367" s="60"/>
      <c r="G367" s="60"/>
      <c r="H367" s="25"/>
      <c r="I367" s="25"/>
      <c r="J367" s="25"/>
      <c r="K367" s="25"/>
      <c r="L367" s="25"/>
      <c r="M367" s="25"/>
      <c r="N367" s="25"/>
      <c r="O367" s="25"/>
      <c r="Q367" s="25"/>
      <c r="R367" s="25"/>
      <c r="S367" s="25"/>
      <c r="T367" s="25"/>
      <c r="U367" s="25"/>
      <c r="V367" s="25"/>
      <c r="X367" s="25"/>
      <c r="Z367" s="24"/>
      <c r="AA367" s="26"/>
    </row>
    <row r="368" spans="2:27" s="11" customFormat="1" x14ac:dyDescent="0.3"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Q368" s="62"/>
      <c r="R368" s="62"/>
      <c r="S368" s="62"/>
      <c r="T368" s="57"/>
      <c r="U368" s="57"/>
      <c r="V368" s="57"/>
      <c r="W368" s="57"/>
      <c r="X368" s="57"/>
      <c r="Z368" s="24"/>
      <c r="AA368" s="26"/>
    </row>
    <row r="369" spans="2:26" s="11" customFormat="1" x14ac:dyDescent="0.3"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Q369" s="62"/>
      <c r="R369" s="62"/>
      <c r="S369" s="62"/>
      <c r="T369" s="57"/>
      <c r="U369" s="57"/>
      <c r="V369" s="57"/>
      <c r="W369" s="57"/>
      <c r="X369" s="57"/>
    </row>
    <row r="370" spans="2:26" s="11" customFormat="1" x14ac:dyDescent="0.3"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Q370" s="62"/>
      <c r="R370" s="62"/>
      <c r="S370" s="62"/>
      <c r="T370" s="57"/>
      <c r="U370" s="57"/>
      <c r="V370" s="57"/>
      <c r="W370" s="57"/>
      <c r="X370" s="57"/>
    </row>
    <row r="371" spans="2:26" s="11" customFormat="1" x14ac:dyDescent="0.3"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Q371" s="62"/>
      <c r="R371" s="62"/>
      <c r="S371" s="62"/>
      <c r="T371" s="57"/>
      <c r="U371" s="57"/>
      <c r="V371" s="57"/>
      <c r="W371" s="57"/>
      <c r="X371" s="57"/>
    </row>
    <row r="372" spans="2:26" s="11" customFormat="1" x14ac:dyDescent="0.3"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Q372" s="69"/>
      <c r="R372" s="69"/>
      <c r="S372" s="69"/>
    </row>
    <row r="373" spans="2:26" s="11" customFormat="1" x14ac:dyDescent="0.3">
      <c r="B373" s="25"/>
      <c r="C373" s="25"/>
      <c r="D373" s="25"/>
      <c r="E373" s="25"/>
      <c r="F373" s="60"/>
      <c r="G373" s="60"/>
      <c r="H373" s="25"/>
      <c r="I373" s="25"/>
      <c r="J373" s="25"/>
      <c r="K373" s="25"/>
      <c r="L373" s="25"/>
      <c r="M373" s="25"/>
      <c r="N373" s="25"/>
      <c r="O373" s="25"/>
      <c r="Q373" s="25"/>
      <c r="R373" s="25"/>
      <c r="S373" s="25"/>
      <c r="T373" s="25"/>
      <c r="U373" s="25"/>
      <c r="V373" s="25"/>
      <c r="X373" s="25"/>
      <c r="Y373" s="25"/>
      <c r="Z373" s="25"/>
    </row>
    <row r="374" spans="2:26" s="11" customFormat="1" x14ac:dyDescent="0.3"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Q374" s="62"/>
      <c r="R374" s="62"/>
      <c r="S374" s="62"/>
      <c r="T374" s="57"/>
      <c r="U374" s="57"/>
      <c r="V374" s="57"/>
      <c r="W374" s="57"/>
      <c r="X374" s="71"/>
      <c r="Y374" s="35"/>
      <c r="Z374" s="72"/>
    </row>
    <row r="375" spans="2:26" s="11" customFormat="1" x14ac:dyDescent="0.3"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Q375" s="62"/>
      <c r="R375" s="62"/>
      <c r="S375" s="62"/>
      <c r="T375" s="57"/>
      <c r="U375" s="57"/>
      <c r="V375" s="57"/>
      <c r="W375" s="57"/>
      <c r="X375" s="71"/>
      <c r="Y375" s="35"/>
      <c r="Z375" s="72"/>
    </row>
    <row r="376" spans="2:26" s="11" customFormat="1" x14ac:dyDescent="0.3"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Q376" s="62"/>
      <c r="R376" s="62"/>
      <c r="S376" s="62"/>
      <c r="T376" s="57"/>
      <c r="U376" s="57"/>
      <c r="V376" s="57"/>
      <c r="W376" s="57"/>
      <c r="X376" s="71"/>
      <c r="Y376" s="35"/>
      <c r="Z376" s="72"/>
    </row>
    <row r="377" spans="2:26" s="11" customFormat="1" x14ac:dyDescent="0.3"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Q377" s="62"/>
      <c r="R377" s="62"/>
      <c r="S377" s="62"/>
      <c r="T377" s="57"/>
      <c r="U377" s="57"/>
      <c r="V377" s="57"/>
      <c r="W377" s="57"/>
      <c r="X377" s="71"/>
      <c r="Y377" s="35"/>
      <c r="Z377" s="72"/>
    </row>
    <row r="378" spans="2:26" s="11" customFormat="1" x14ac:dyDescent="0.3"/>
    <row r="379" spans="2:26" s="11" customFormat="1" x14ac:dyDescent="0.3"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Q379" s="29"/>
      <c r="R379" s="29"/>
      <c r="S379" s="29"/>
      <c r="T379" s="28"/>
      <c r="U379" s="28"/>
      <c r="V379" s="28"/>
      <c r="X379" s="27"/>
    </row>
    <row r="380" spans="2:26" s="11" customFormat="1" x14ac:dyDescent="0.3"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Q380" s="29"/>
      <c r="R380" s="29"/>
      <c r="S380" s="29"/>
      <c r="T380" s="28"/>
      <c r="U380" s="28"/>
      <c r="V380" s="28"/>
      <c r="X380" s="27"/>
    </row>
    <row r="381" spans="2:26" s="11" customFormat="1" x14ac:dyDescent="0.3"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Q381" s="29"/>
      <c r="R381" s="29"/>
      <c r="S381" s="29"/>
      <c r="T381" s="28"/>
      <c r="U381" s="28"/>
      <c r="V381" s="28"/>
      <c r="X381" s="27"/>
    </row>
    <row r="382" spans="2:26" s="11" customFormat="1" x14ac:dyDescent="0.3"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Q382" s="29"/>
      <c r="R382" s="29"/>
      <c r="S382" s="29"/>
      <c r="T382" s="28"/>
      <c r="U382" s="28"/>
      <c r="V382" s="28"/>
      <c r="X382" s="27"/>
    </row>
    <row r="383" spans="2:26" s="11" customFormat="1" x14ac:dyDescent="0.3"/>
    <row r="384" spans="2:26" s="11" customFormat="1" x14ac:dyDescent="0.3">
      <c r="B384" s="34"/>
      <c r="C384" s="25"/>
      <c r="D384" s="25"/>
      <c r="E384" s="25"/>
      <c r="F384" s="60"/>
      <c r="G384" s="60"/>
      <c r="H384" s="25"/>
      <c r="I384" s="25"/>
      <c r="J384" s="25"/>
      <c r="K384" s="25"/>
      <c r="L384" s="25"/>
      <c r="M384" s="25"/>
      <c r="N384" s="25"/>
      <c r="O384" s="25"/>
      <c r="Q384" s="25"/>
      <c r="R384" s="25"/>
      <c r="S384" s="25"/>
      <c r="T384" s="25"/>
      <c r="U384" s="25"/>
      <c r="V384" s="25"/>
      <c r="X384" s="54"/>
    </row>
    <row r="385" spans="2:26" s="11" customFormat="1" x14ac:dyDescent="0.3"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Q385" s="53"/>
      <c r="R385" s="53"/>
      <c r="S385" s="53"/>
      <c r="X385" s="54"/>
    </row>
    <row r="386" spans="2:26" s="11" customFormat="1" x14ac:dyDescent="0.3"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Q386" s="53"/>
      <c r="R386" s="53"/>
      <c r="S386" s="53"/>
      <c r="X386" s="54"/>
    </row>
    <row r="387" spans="2:26" s="11" customFormat="1" x14ac:dyDescent="0.3"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Q387" s="53"/>
      <c r="R387" s="53"/>
      <c r="S387" s="53"/>
      <c r="X387" s="54"/>
    </row>
    <row r="388" spans="2:26" s="11" customFormat="1" x14ac:dyDescent="0.3"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Q388" s="53"/>
      <c r="R388" s="53"/>
      <c r="S388" s="53"/>
      <c r="X388" s="54"/>
    </row>
    <row r="389" spans="2:26" s="11" customFormat="1" x14ac:dyDescent="0.3">
      <c r="B389" s="34"/>
    </row>
    <row r="390" spans="2:26" s="11" customFormat="1" x14ac:dyDescent="0.3">
      <c r="B390" s="34"/>
      <c r="X390" s="54"/>
    </row>
    <row r="391" spans="2:26" s="11" customFormat="1" x14ac:dyDescent="0.3"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Q391" s="53"/>
      <c r="R391" s="53"/>
      <c r="S391" s="53"/>
      <c r="X391" s="54"/>
    </row>
    <row r="392" spans="2:26" s="11" customFormat="1" x14ac:dyDescent="0.3"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Q392" s="53"/>
      <c r="R392" s="53"/>
      <c r="S392" s="53"/>
      <c r="X392" s="54"/>
    </row>
    <row r="393" spans="2:26" s="11" customFormat="1" x14ac:dyDescent="0.3"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Q393" s="53"/>
      <c r="R393" s="53"/>
      <c r="S393" s="53"/>
      <c r="X393" s="54"/>
    </row>
    <row r="394" spans="2:26" s="11" customFormat="1" x14ac:dyDescent="0.3"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Q394" s="53"/>
      <c r="R394" s="53"/>
      <c r="S394" s="53"/>
      <c r="X394" s="54"/>
    </row>
    <row r="395" spans="2:26" s="11" customFormat="1" x14ac:dyDescent="0.3">
      <c r="B395" s="34"/>
    </row>
    <row r="396" spans="2:26" s="11" customFormat="1" x14ac:dyDescent="0.3">
      <c r="B396" s="34"/>
      <c r="Y396" s="70"/>
      <c r="Z396" s="61"/>
    </row>
    <row r="397" spans="2:26" s="11" customFormat="1" x14ac:dyDescent="0.3"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Q397" s="53"/>
      <c r="R397" s="53"/>
      <c r="S397" s="53"/>
      <c r="X397" s="73"/>
      <c r="Y397" s="54"/>
      <c r="Z397" s="54"/>
    </row>
    <row r="398" spans="2:26" s="11" customFormat="1" x14ac:dyDescent="0.3"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Q398" s="53"/>
      <c r="R398" s="53"/>
      <c r="S398" s="53"/>
      <c r="X398" s="73"/>
      <c r="Y398" s="54"/>
      <c r="Z398" s="54"/>
    </row>
    <row r="399" spans="2:26" s="11" customFormat="1" x14ac:dyDescent="0.3"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Q399" s="53"/>
      <c r="R399" s="53"/>
      <c r="S399" s="53"/>
      <c r="X399" s="73"/>
      <c r="Y399" s="54"/>
      <c r="Z399" s="54"/>
    </row>
    <row r="400" spans="2:26" s="11" customFormat="1" x14ac:dyDescent="0.3"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Q400" s="53"/>
      <c r="R400" s="53"/>
      <c r="S400" s="53"/>
      <c r="X400" s="73"/>
      <c r="Y400" s="54"/>
      <c r="Z400" s="54"/>
    </row>
    <row r="401" s="11" customFormat="1" x14ac:dyDescent="0.3"/>
    <row r="402" s="11" customFormat="1" x14ac:dyDescent="0.3"/>
    <row r="403" s="11" customFormat="1" x14ac:dyDescent="0.3"/>
    <row r="404" s="11" customFormat="1" x14ac:dyDescent="0.3"/>
    <row r="405" s="11" customFormat="1" x14ac:dyDescent="0.3"/>
    <row r="406" s="11" customFormat="1" x14ac:dyDescent="0.3"/>
    <row r="407" s="11" customFormat="1" x14ac:dyDescent="0.3"/>
    <row r="408" s="11" customFormat="1" x14ac:dyDescent="0.3"/>
    <row r="409" s="11" customFormat="1" x14ac:dyDescent="0.3"/>
    <row r="410" s="11" customFormat="1" x14ac:dyDescent="0.3"/>
    <row r="411" s="11" customFormat="1" x14ac:dyDescent="0.3"/>
    <row r="412" s="11" customFormat="1" x14ac:dyDescent="0.3"/>
    <row r="413" s="11" customFormat="1" x14ac:dyDescent="0.3"/>
    <row r="414" s="11" customFormat="1" x14ac:dyDescent="0.3"/>
    <row r="415" s="11" customFormat="1" x14ac:dyDescent="0.3"/>
    <row r="416" s="11" customFormat="1" x14ac:dyDescent="0.3"/>
    <row r="417" s="11" customFormat="1" x14ac:dyDescent="0.3"/>
    <row r="418" s="11" customFormat="1" x14ac:dyDescent="0.3"/>
    <row r="419" s="11" customFormat="1" x14ac:dyDescent="0.3"/>
    <row r="420" s="11" customFormat="1" x14ac:dyDescent="0.3"/>
    <row r="421" s="11" customFormat="1" x14ac:dyDescent="0.3"/>
    <row r="422" s="11" customFormat="1" x14ac:dyDescent="0.3"/>
    <row r="423" s="11" customFormat="1" x14ac:dyDescent="0.3"/>
    <row r="424" s="11" customFormat="1" x14ac:dyDescent="0.3"/>
    <row r="425" s="11" customFormat="1" x14ac:dyDescent="0.3"/>
    <row r="426" s="11" customFormat="1" x14ac:dyDescent="0.3"/>
    <row r="427" s="11" customFormat="1" x14ac:dyDescent="0.3"/>
    <row r="428" s="11" customFormat="1" x14ac:dyDescent="0.3"/>
    <row r="429" s="11" customFormat="1" x14ac:dyDescent="0.3"/>
    <row r="430" s="11" customFormat="1" x14ac:dyDescent="0.3"/>
    <row r="431" s="11" customFormat="1" x14ac:dyDescent="0.3"/>
    <row r="432" s="11" customFormat="1" x14ac:dyDescent="0.3"/>
    <row r="433" s="11" customFormat="1" x14ac:dyDescent="0.3"/>
    <row r="434" s="11" customFormat="1" x14ac:dyDescent="0.3"/>
    <row r="435" s="11" customFormat="1" x14ac:dyDescent="0.3"/>
    <row r="436" s="11" customFormat="1" x14ac:dyDescent="0.3"/>
    <row r="437" s="11" customFormat="1" x14ac:dyDescent="0.3"/>
    <row r="438" s="11" customFormat="1" x14ac:dyDescent="0.3"/>
    <row r="439" s="11" customFormat="1" x14ac:dyDescent="0.3"/>
    <row r="440" s="11" customFormat="1" x14ac:dyDescent="0.3"/>
    <row r="441" s="11" customFormat="1" x14ac:dyDescent="0.3"/>
    <row r="442" s="11" customFormat="1" x14ac:dyDescent="0.3"/>
    <row r="443" s="11" customFormat="1" x14ac:dyDescent="0.3"/>
    <row r="444" s="11" customFormat="1" x14ac:dyDescent="0.3"/>
    <row r="445" s="11" customFormat="1" x14ac:dyDescent="0.3"/>
    <row r="446" s="11" customFormat="1" x14ac:dyDescent="0.3"/>
    <row r="447" s="11" customFormat="1" x14ac:dyDescent="0.3"/>
    <row r="448" s="11" customFormat="1" x14ac:dyDescent="0.3"/>
    <row r="449" s="11" customFormat="1" x14ac:dyDescent="0.3"/>
    <row r="450" s="11" customFormat="1" x14ac:dyDescent="0.3"/>
    <row r="451" s="11" customFormat="1" x14ac:dyDescent="0.3"/>
    <row r="452" s="11" customFormat="1" x14ac:dyDescent="0.3"/>
    <row r="453" s="11" customFormat="1" x14ac:dyDescent="0.3"/>
    <row r="454" s="11" customFormat="1" x14ac:dyDescent="0.3"/>
    <row r="455" s="11" customFormat="1" x14ac:dyDescent="0.3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463"/>
  <sheetViews>
    <sheetView tabSelected="1" topLeftCell="A253" zoomScale="85" zoomScaleNormal="85" workbookViewId="0">
      <selection activeCell="I277" sqref="I277"/>
    </sheetView>
  </sheetViews>
  <sheetFormatPr defaultColWidth="9.109375" defaultRowHeight="14.4" x14ac:dyDescent="0.3"/>
  <cols>
    <col min="1" max="1" width="9.109375" style="3"/>
    <col min="2" max="2" width="43.109375" style="3" customWidth="1"/>
    <col min="3" max="3" width="10.109375" style="3" bestFit="1" customWidth="1"/>
    <col min="4" max="4" width="10.109375" style="3" customWidth="1"/>
    <col min="5" max="5" width="9.5546875" style="3" bestFit="1" customWidth="1"/>
    <col min="6" max="6" width="11.109375" style="3" bestFit="1" customWidth="1"/>
    <col min="7" max="7" width="10.109375" style="3" bestFit="1" customWidth="1"/>
    <col min="8" max="8" width="9.44140625" style="3" bestFit="1" customWidth="1"/>
    <col min="9" max="10" width="11.109375" style="3" bestFit="1" customWidth="1"/>
    <col min="11" max="11" width="9.44140625" style="3" bestFit="1" customWidth="1"/>
    <col min="12" max="12" width="10.109375" style="3" bestFit="1" customWidth="1"/>
    <col min="13" max="13" width="11.109375" style="3" bestFit="1" customWidth="1"/>
    <col min="14" max="14" width="9.44140625" style="3" bestFit="1" customWidth="1"/>
    <col min="15" max="15" width="9.44140625" style="3" customWidth="1"/>
    <col min="16" max="16" width="1.5546875" style="11" customWidth="1"/>
    <col min="17" max="19" width="9.44140625" style="3" bestFit="1" customWidth="1"/>
    <col min="20" max="20" width="10" style="3" bestFit="1" customWidth="1"/>
    <col min="21" max="21" width="10.88671875" style="3" bestFit="1" customWidth="1"/>
    <col min="22" max="22" width="9.5546875" style="3" bestFit="1" customWidth="1"/>
    <col min="23" max="23" width="9.5546875" style="3" customWidth="1"/>
    <col min="24" max="24" width="12.33203125" style="3" bestFit="1" customWidth="1"/>
    <col min="25" max="25" width="9.88671875" style="3" bestFit="1" customWidth="1"/>
    <col min="26" max="26" width="10.88671875" style="3" bestFit="1" customWidth="1"/>
    <col min="27" max="29" width="9.109375" style="3"/>
    <col min="30" max="30" width="9.6640625" style="3" bestFit="1" customWidth="1"/>
    <col min="31" max="16384" width="9.109375" style="3"/>
  </cols>
  <sheetData>
    <row r="2" spans="2:34" s="9" customFormat="1" ht="21" x14ac:dyDescent="0.35">
      <c r="B2" s="10" t="s">
        <v>11</v>
      </c>
    </row>
    <row r="3" spans="2:34" ht="30" x14ac:dyDescent="0.25">
      <c r="B3" s="43" t="s">
        <v>31</v>
      </c>
      <c r="C3" s="43" t="s">
        <v>0</v>
      </c>
      <c r="D3" s="43" t="s">
        <v>1</v>
      </c>
      <c r="E3" s="43" t="s">
        <v>28</v>
      </c>
      <c r="F3" s="2" t="s">
        <v>29</v>
      </c>
      <c r="G3" s="2" t="s">
        <v>6</v>
      </c>
      <c r="H3" s="43" t="s">
        <v>2</v>
      </c>
      <c r="I3" s="43" t="s">
        <v>3</v>
      </c>
      <c r="J3" s="43" t="s">
        <v>4</v>
      </c>
      <c r="K3" s="43" t="s">
        <v>9</v>
      </c>
      <c r="L3" s="43" t="s">
        <v>8</v>
      </c>
      <c r="M3" s="43" t="s">
        <v>25</v>
      </c>
      <c r="N3" s="43" t="s">
        <v>7</v>
      </c>
      <c r="O3" s="43" t="s">
        <v>89</v>
      </c>
      <c r="P3" s="25"/>
      <c r="Q3" s="43" t="s">
        <v>5</v>
      </c>
      <c r="R3" s="43" t="s">
        <v>91</v>
      </c>
      <c r="T3" s="43" t="s">
        <v>10</v>
      </c>
    </row>
    <row r="4" spans="2:34" ht="15" x14ac:dyDescent="0.25">
      <c r="B4" s="3">
        <v>2016</v>
      </c>
      <c r="C4" s="74">
        <f>'HC-BC'!C4</f>
        <v>36060</v>
      </c>
      <c r="D4" s="74">
        <f>'HC-BC'!D4</f>
        <v>1860</v>
      </c>
      <c r="E4" s="74">
        <f>'HC-BC'!E4</f>
        <v>424.6</v>
      </c>
      <c r="F4" s="74">
        <f>'HC-BC'!F4</f>
        <v>3419</v>
      </c>
      <c r="G4" s="74">
        <f>'HC-BC'!G4</f>
        <v>2179</v>
      </c>
      <c r="H4" s="74">
        <f>'HC-BC'!H4</f>
        <v>1306</v>
      </c>
      <c r="I4" s="74">
        <f>'HC-BC'!I4</f>
        <v>200</v>
      </c>
      <c r="J4" s="74">
        <f>'HC-BC'!J4</f>
        <v>1479</v>
      </c>
      <c r="K4" s="74">
        <f>'HC-BC'!K4</f>
        <v>0</v>
      </c>
      <c r="L4" s="74">
        <f>'HC-BC'!L4</f>
        <v>264</v>
      </c>
      <c r="M4" s="74">
        <f>'HC-BC'!M4</f>
        <v>0</v>
      </c>
      <c r="N4" s="74">
        <f>'HC-BC'!N4</f>
        <v>1580</v>
      </c>
      <c r="O4" s="74">
        <f>'HC-BC'!P4</f>
        <v>0</v>
      </c>
      <c r="P4" s="89"/>
      <c r="Q4" s="39">
        <f>G4+N4</f>
        <v>3759</v>
      </c>
      <c r="R4" s="5">
        <f>SUM(K4:L4)</f>
        <v>264</v>
      </c>
      <c r="T4" s="5">
        <f>SUM(C4:O4)</f>
        <v>48771.6</v>
      </c>
    </row>
    <row r="5" spans="2:34" ht="15" x14ac:dyDescent="0.25">
      <c r="B5" s="3">
        <v>2030</v>
      </c>
      <c r="C5" s="44">
        <v>17850</v>
      </c>
      <c r="D5" s="44">
        <v>1860</v>
      </c>
      <c r="E5" s="44">
        <v>424.6</v>
      </c>
      <c r="F5" s="44">
        <v>3077</v>
      </c>
      <c r="G5" s="44">
        <v>2179</v>
      </c>
      <c r="H5" s="44">
        <v>1306</v>
      </c>
      <c r="I5" s="44">
        <v>200</v>
      </c>
      <c r="J5" s="44">
        <v>1479</v>
      </c>
      <c r="K5" s="44">
        <v>0</v>
      </c>
      <c r="L5" s="44">
        <v>264</v>
      </c>
      <c r="M5" s="44">
        <v>0</v>
      </c>
      <c r="N5" s="44">
        <v>1580</v>
      </c>
      <c r="O5" s="44">
        <v>0</v>
      </c>
      <c r="P5" s="89"/>
      <c r="Q5" s="39">
        <f>G5+N5</f>
        <v>3759</v>
      </c>
      <c r="R5" s="5">
        <f>SUM(K5:L5)</f>
        <v>264</v>
      </c>
      <c r="T5" s="5">
        <f t="shared" ref="T5:T7" si="0">SUM(C5:O5)</f>
        <v>30219.599999999999</v>
      </c>
    </row>
    <row r="6" spans="2:34" ht="15" x14ac:dyDescent="0.25">
      <c r="B6" s="3">
        <v>2040</v>
      </c>
      <c r="C6" s="44">
        <v>3840</v>
      </c>
      <c r="D6" s="44">
        <v>1860</v>
      </c>
      <c r="E6" s="44">
        <v>424.6</v>
      </c>
      <c r="F6" s="44">
        <v>1005</v>
      </c>
      <c r="G6" s="44">
        <v>2179</v>
      </c>
      <c r="H6" s="44">
        <v>0</v>
      </c>
      <c r="I6" s="44">
        <v>200</v>
      </c>
      <c r="J6" s="44">
        <v>435</v>
      </c>
      <c r="K6" s="44">
        <v>0</v>
      </c>
      <c r="L6" s="44">
        <v>264</v>
      </c>
      <c r="M6" s="44">
        <v>0</v>
      </c>
      <c r="N6" s="44">
        <v>1580</v>
      </c>
      <c r="O6" s="44">
        <v>0</v>
      </c>
      <c r="P6" s="89"/>
      <c r="Q6" s="39">
        <f>G6+N6</f>
        <v>3759</v>
      </c>
      <c r="R6" s="5">
        <f>SUM(K6:L6)</f>
        <v>264</v>
      </c>
      <c r="T6" s="5">
        <f t="shared" si="0"/>
        <v>11787.6</v>
      </c>
    </row>
    <row r="7" spans="2:34" ht="15" x14ac:dyDescent="0.25">
      <c r="B7" s="3">
        <v>2050</v>
      </c>
      <c r="C7" s="44">
        <v>0</v>
      </c>
      <c r="D7" s="44">
        <v>0</v>
      </c>
      <c r="E7" s="44">
        <v>424.6</v>
      </c>
      <c r="F7" s="44">
        <v>0</v>
      </c>
      <c r="G7" s="44">
        <v>2179</v>
      </c>
      <c r="H7" s="44">
        <v>0</v>
      </c>
      <c r="I7" s="44">
        <v>0</v>
      </c>
      <c r="J7" s="44">
        <v>0</v>
      </c>
      <c r="K7" s="44">
        <v>0</v>
      </c>
      <c r="L7" s="44">
        <v>264</v>
      </c>
      <c r="M7" s="44">
        <v>0</v>
      </c>
      <c r="N7" s="44">
        <v>1580</v>
      </c>
      <c r="O7" s="44">
        <v>0</v>
      </c>
      <c r="P7" s="89"/>
      <c r="Q7" s="39">
        <f>G7+N7</f>
        <v>3759</v>
      </c>
      <c r="R7" s="5">
        <f>SUM(K7:L7)</f>
        <v>264</v>
      </c>
      <c r="T7" s="5">
        <f t="shared" si="0"/>
        <v>4447.6000000000004</v>
      </c>
    </row>
    <row r="9" spans="2:34" ht="30" x14ac:dyDescent="0.25">
      <c r="B9" s="43" t="s">
        <v>30</v>
      </c>
      <c r="C9" s="43" t="s">
        <v>0</v>
      </c>
      <c r="D9" s="43" t="s">
        <v>1</v>
      </c>
      <c r="E9" s="43" t="s">
        <v>28</v>
      </c>
      <c r="F9" s="2" t="s">
        <v>29</v>
      </c>
      <c r="G9" s="2" t="s">
        <v>6</v>
      </c>
      <c r="H9" s="43" t="s">
        <v>2</v>
      </c>
      <c r="I9" s="43" t="s">
        <v>3</v>
      </c>
      <c r="J9" s="43" t="s">
        <v>4</v>
      </c>
      <c r="K9" s="43" t="s">
        <v>9</v>
      </c>
      <c r="L9" s="43" t="s">
        <v>8</v>
      </c>
      <c r="M9" s="43" t="s">
        <v>25</v>
      </c>
      <c r="N9" s="43" t="s">
        <v>7</v>
      </c>
      <c r="O9" s="43" t="s">
        <v>89</v>
      </c>
      <c r="P9" s="25"/>
      <c r="Q9" s="43" t="s">
        <v>5</v>
      </c>
      <c r="R9" s="43" t="s">
        <v>91</v>
      </c>
      <c r="T9" s="43" t="s">
        <v>10</v>
      </c>
    </row>
    <row r="10" spans="2:34" ht="15" x14ac:dyDescent="0.25">
      <c r="B10" s="3">
        <v>2016</v>
      </c>
      <c r="C10" s="74">
        <f>'HC-BC'!C10</f>
        <v>722</v>
      </c>
      <c r="D10" s="74">
        <f>'HC-BC'!D10</f>
        <v>0</v>
      </c>
      <c r="E10" s="74">
        <f>'HC-BC'!E10</f>
        <v>0</v>
      </c>
      <c r="F10" s="74">
        <f>'HC-BC'!F10</f>
        <v>0</v>
      </c>
      <c r="G10" s="74">
        <f>'HC-BC'!G10</f>
        <v>0</v>
      </c>
      <c r="H10" s="74">
        <f>'HC-BC'!H10</f>
        <v>154</v>
      </c>
      <c r="I10" s="74">
        <f>'HC-BC'!I10</f>
        <v>0</v>
      </c>
      <c r="J10" s="74">
        <f>'HC-BC'!J10</f>
        <v>0</v>
      </c>
      <c r="K10" s="74">
        <f>'HC-BC'!K10</f>
        <v>0</v>
      </c>
      <c r="L10" s="74">
        <f>'HC-BC'!L10</f>
        <v>0</v>
      </c>
      <c r="M10" s="74">
        <f>'HC-BC'!M10</f>
        <v>0</v>
      </c>
      <c r="N10" s="74">
        <f>'HC-BC'!N10</f>
        <v>0</v>
      </c>
      <c r="O10" s="74">
        <f>'HC-BC'!P10</f>
        <v>0</v>
      </c>
      <c r="P10" s="89"/>
      <c r="Q10" s="39">
        <f>G10+N10</f>
        <v>0</v>
      </c>
      <c r="R10" s="5">
        <f>SUM(K10:L10)</f>
        <v>0</v>
      </c>
      <c r="T10" s="5">
        <f>SUM(C10:O10)</f>
        <v>876</v>
      </c>
    </row>
    <row r="11" spans="2:34" ht="15" x14ac:dyDescent="0.25">
      <c r="B11" s="3">
        <v>2030</v>
      </c>
      <c r="C11" s="44">
        <v>5198</v>
      </c>
      <c r="D11" s="44">
        <v>0</v>
      </c>
      <c r="E11" s="44">
        <v>0</v>
      </c>
      <c r="F11" s="44">
        <v>0</v>
      </c>
      <c r="G11" s="44">
        <v>45</v>
      </c>
      <c r="H11" s="44">
        <v>2800</v>
      </c>
      <c r="I11" s="44">
        <v>850</v>
      </c>
      <c r="J11" s="44">
        <v>1332</v>
      </c>
      <c r="K11" s="44">
        <v>53</v>
      </c>
      <c r="L11" s="44">
        <v>153</v>
      </c>
      <c r="M11" s="44">
        <v>0</v>
      </c>
      <c r="N11" s="44">
        <v>1332</v>
      </c>
      <c r="O11" s="44">
        <v>0</v>
      </c>
      <c r="P11" s="89"/>
      <c r="Q11" s="39">
        <f>G11+N11</f>
        <v>1377</v>
      </c>
      <c r="R11" s="5">
        <f>SUM(K11:L11)</f>
        <v>206</v>
      </c>
      <c r="T11" s="5">
        <f t="shared" ref="T11:T13" si="1">SUM(C11:O11)</f>
        <v>11763</v>
      </c>
    </row>
    <row r="12" spans="2:34" ht="15" x14ac:dyDescent="0.25">
      <c r="B12" s="3">
        <v>2040</v>
      </c>
      <c r="C12" s="44">
        <v>5198</v>
      </c>
      <c r="D12" s="44">
        <v>0</v>
      </c>
      <c r="E12" s="44">
        <v>0</v>
      </c>
      <c r="F12" s="44">
        <v>0</v>
      </c>
      <c r="G12" s="44">
        <v>45</v>
      </c>
      <c r="H12" s="44">
        <v>0</v>
      </c>
      <c r="I12" s="44">
        <v>850</v>
      </c>
      <c r="J12" s="44">
        <v>1332</v>
      </c>
      <c r="K12" s="44">
        <v>53</v>
      </c>
      <c r="L12" s="44">
        <v>153</v>
      </c>
      <c r="M12" s="44">
        <v>0</v>
      </c>
      <c r="N12" s="44">
        <v>1332</v>
      </c>
      <c r="O12" s="44">
        <v>0</v>
      </c>
      <c r="P12" s="89"/>
      <c r="Q12" s="39">
        <f>G12+N12</f>
        <v>1377</v>
      </c>
      <c r="R12" s="5">
        <f>SUM(K12:L12)</f>
        <v>206</v>
      </c>
      <c r="T12" s="5">
        <f t="shared" si="1"/>
        <v>8963</v>
      </c>
    </row>
    <row r="13" spans="2:34" ht="15" x14ac:dyDescent="0.25">
      <c r="B13" s="3">
        <v>2050</v>
      </c>
      <c r="C13" s="44">
        <v>0</v>
      </c>
      <c r="D13" s="44">
        <v>0</v>
      </c>
      <c r="E13" s="44">
        <v>0</v>
      </c>
      <c r="F13" s="44">
        <v>0</v>
      </c>
      <c r="G13" s="44">
        <v>45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1332</v>
      </c>
      <c r="O13" s="44">
        <v>0</v>
      </c>
      <c r="P13" s="89"/>
      <c r="Q13" s="39">
        <f>G13+N13</f>
        <v>1377</v>
      </c>
      <c r="R13" s="5">
        <f>SUM(K13:L13)</f>
        <v>0</v>
      </c>
      <c r="T13" s="5">
        <f t="shared" si="1"/>
        <v>1377</v>
      </c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</row>
    <row r="15" spans="2:34" ht="30" x14ac:dyDescent="0.25">
      <c r="B15" s="43" t="s">
        <v>32</v>
      </c>
      <c r="C15" s="43" t="s">
        <v>0</v>
      </c>
      <c r="D15" s="43" t="s">
        <v>1</v>
      </c>
      <c r="E15" s="43" t="s">
        <v>28</v>
      </c>
      <c r="F15" s="2" t="s">
        <v>29</v>
      </c>
      <c r="G15" s="2" t="s">
        <v>6</v>
      </c>
      <c r="H15" s="43" t="s">
        <v>2</v>
      </c>
      <c r="I15" s="43" t="s">
        <v>3</v>
      </c>
      <c r="J15" s="43" t="s">
        <v>4</v>
      </c>
      <c r="K15" s="43" t="s">
        <v>9</v>
      </c>
      <c r="L15" s="43" t="s">
        <v>8</v>
      </c>
      <c r="M15" s="43" t="s">
        <v>25</v>
      </c>
      <c r="N15" s="43" t="s">
        <v>7</v>
      </c>
      <c r="O15" s="43" t="s">
        <v>89</v>
      </c>
      <c r="P15" s="25"/>
      <c r="Q15" s="43" t="s">
        <v>5</v>
      </c>
      <c r="R15" s="43" t="s">
        <v>91</v>
      </c>
      <c r="T15" s="43" t="s">
        <v>10</v>
      </c>
    </row>
    <row r="16" spans="2:34" ht="15" x14ac:dyDescent="0.25">
      <c r="B16" s="3">
        <v>2016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89"/>
      <c r="Q16" s="39">
        <f>G16+N16</f>
        <v>0</v>
      </c>
      <c r="R16" s="5">
        <f>SUM(K16:L16)</f>
        <v>0</v>
      </c>
      <c r="T16" s="5">
        <f>SUM(C16:O16)</f>
        <v>0</v>
      </c>
    </row>
    <row r="17" spans="1:23" ht="15" x14ac:dyDescent="0.25">
      <c r="B17" s="3">
        <v>2030</v>
      </c>
      <c r="C17" s="44">
        <v>0</v>
      </c>
      <c r="D17" s="44">
        <v>0</v>
      </c>
      <c r="E17" s="44">
        <v>5124</v>
      </c>
      <c r="F17" s="44">
        <v>13464</v>
      </c>
      <c r="G17" s="44">
        <v>0</v>
      </c>
      <c r="H17" s="44">
        <v>34100</v>
      </c>
      <c r="I17" s="44">
        <v>0</v>
      </c>
      <c r="J17" s="44">
        <v>22200</v>
      </c>
      <c r="K17" s="44">
        <v>0</v>
      </c>
      <c r="L17" s="44">
        <v>0</v>
      </c>
      <c r="M17" s="44">
        <v>620</v>
      </c>
      <c r="N17" s="44">
        <v>333</v>
      </c>
      <c r="O17" s="44">
        <v>6</v>
      </c>
      <c r="P17" s="89"/>
      <c r="Q17" s="39">
        <f>G17+N17</f>
        <v>333</v>
      </c>
      <c r="R17" s="5">
        <f>SUM(K17:L17)</f>
        <v>0</v>
      </c>
      <c r="T17" s="5">
        <f t="shared" ref="T17:T19" si="2">SUM(C17:O17)</f>
        <v>75847</v>
      </c>
    </row>
    <row r="18" spans="1:23" ht="15" x14ac:dyDescent="0.25">
      <c r="B18" s="3">
        <v>2040</v>
      </c>
      <c r="C18" s="44">
        <v>0</v>
      </c>
      <c r="D18" s="44">
        <v>0</v>
      </c>
      <c r="E18" s="44">
        <v>13908</v>
      </c>
      <c r="F18" s="44">
        <v>28512</v>
      </c>
      <c r="G18" s="44">
        <v>0</v>
      </c>
      <c r="H18" s="44">
        <v>66600</v>
      </c>
      <c r="I18" s="44">
        <v>0</v>
      </c>
      <c r="J18" s="44">
        <v>57100</v>
      </c>
      <c r="K18" s="44">
        <v>305</v>
      </c>
      <c r="L18" s="44">
        <v>0</v>
      </c>
      <c r="M18" s="44">
        <v>3226</v>
      </c>
      <c r="N18" s="44">
        <v>333</v>
      </c>
      <c r="O18" s="44">
        <v>6</v>
      </c>
      <c r="P18" s="89"/>
      <c r="Q18" s="39">
        <f>G18+N18</f>
        <v>333</v>
      </c>
      <c r="R18" s="5">
        <f>SUM(K18:L18)</f>
        <v>305</v>
      </c>
      <c r="T18" s="5">
        <f t="shared" si="2"/>
        <v>169990</v>
      </c>
    </row>
    <row r="19" spans="1:23" ht="15" x14ac:dyDescent="0.25">
      <c r="B19" s="3">
        <v>2050</v>
      </c>
      <c r="C19" s="44">
        <v>0</v>
      </c>
      <c r="D19" s="44">
        <v>0</v>
      </c>
      <c r="E19" s="44">
        <v>13908</v>
      </c>
      <c r="F19" s="44">
        <v>28512</v>
      </c>
      <c r="G19" s="44">
        <v>2500</v>
      </c>
      <c r="H19" s="44">
        <v>82800</v>
      </c>
      <c r="I19" s="44">
        <v>13400</v>
      </c>
      <c r="J19" s="44">
        <v>84200</v>
      </c>
      <c r="K19" s="44">
        <v>5720</v>
      </c>
      <c r="L19" s="44">
        <v>9674</v>
      </c>
      <c r="M19" s="44">
        <v>3015</v>
      </c>
      <c r="N19" s="44">
        <v>1332</v>
      </c>
      <c r="O19" s="44">
        <v>6</v>
      </c>
      <c r="P19" s="89"/>
      <c r="Q19" s="39">
        <f>G19+N19</f>
        <v>3832</v>
      </c>
      <c r="R19" s="5">
        <f>SUM(K19:L19)</f>
        <v>15394</v>
      </c>
      <c r="T19" s="5">
        <f t="shared" si="2"/>
        <v>245067</v>
      </c>
    </row>
    <row r="21" spans="1:23" ht="30" x14ac:dyDescent="0.25">
      <c r="B21" s="43" t="s">
        <v>33</v>
      </c>
      <c r="C21" s="43" t="s">
        <v>0</v>
      </c>
      <c r="D21" s="43" t="s">
        <v>1</v>
      </c>
      <c r="E21" s="43" t="s">
        <v>28</v>
      </c>
      <c r="F21" s="2" t="s">
        <v>29</v>
      </c>
      <c r="G21" s="2" t="s">
        <v>6</v>
      </c>
      <c r="H21" s="43" t="s">
        <v>2</v>
      </c>
      <c r="I21" s="43" t="s">
        <v>3</v>
      </c>
      <c r="J21" s="43" t="s">
        <v>4</v>
      </c>
      <c r="K21" s="43" t="s">
        <v>9</v>
      </c>
      <c r="L21" s="43" t="s">
        <v>8</v>
      </c>
      <c r="M21" s="43" t="s">
        <v>25</v>
      </c>
      <c r="N21" s="43" t="s">
        <v>7</v>
      </c>
      <c r="O21" s="43" t="s">
        <v>89</v>
      </c>
      <c r="P21" s="25"/>
      <c r="Q21" s="43" t="s">
        <v>5</v>
      </c>
      <c r="R21" s="43" t="s">
        <v>91</v>
      </c>
      <c r="T21" s="43" t="s">
        <v>10</v>
      </c>
      <c r="V21" s="25"/>
      <c r="W21" s="25"/>
    </row>
    <row r="22" spans="1:23" ht="15" x14ac:dyDescent="0.25">
      <c r="A22" s="39">
        <f>C22-C16</f>
        <v>36782</v>
      </c>
      <c r="B22" s="3">
        <v>2016</v>
      </c>
      <c r="C22" s="50">
        <f>C4+C10+C16</f>
        <v>36782</v>
      </c>
      <c r="D22" s="50">
        <f t="shared" ref="D22:O25" si="3">D4+D10+D16</f>
        <v>1860</v>
      </c>
      <c r="E22" s="50">
        <f t="shared" si="3"/>
        <v>424.6</v>
      </c>
      <c r="F22" s="50">
        <f t="shared" si="3"/>
        <v>3419</v>
      </c>
      <c r="G22" s="50">
        <f t="shared" si="3"/>
        <v>2179</v>
      </c>
      <c r="H22" s="50">
        <f t="shared" si="3"/>
        <v>1460</v>
      </c>
      <c r="I22" s="50">
        <f t="shared" si="3"/>
        <v>200</v>
      </c>
      <c r="J22" s="50">
        <f t="shared" si="3"/>
        <v>1479</v>
      </c>
      <c r="K22" s="50">
        <f t="shared" si="3"/>
        <v>0</v>
      </c>
      <c r="L22" s="50">
        <f t="shared" si="3"/>
        <v>264</v>
      </c>
      <c r="M22" s="50">
        <f t="shared" si="3"/>
        <v>0</v>
      </c>
      <c r="N22" s="50">
        <f t="shared" si="3"/>
        <v>1580</v>
      </c>
      <c r="O22" s="50">
        <f t="shared" si="3"/>
        <v>0</v>
      </c>
      <c r="P22" s="56"/>
      <c r="Q22" s="39">
        <f>G22+N22</f>
        <v>3759</v>
      </c>
      <c r="R22" s="5">
        <f>SUM(K22:L22)</f>
        <v>264</v>
      </c>
      <c r="T22" s="5">
        <f>SUM(C22:O22)</f>
        <v>49647.6</v>
      </c>
      <c r="V22" s="24"/>
      <c r="W22" s="26"/>
    </row>
    <row r="23" spans="1:23" ht="15" x14ac:dyDescent="0.25">
      <c r="A23" s="39">
        <f t="shared" ref="A23:A25" si="4">C23-C17</f>
        <v>23048</v>
      </c>
      <c r="B23" s="3">
        <v>2030</v>
      </c>
      <c r="C23" s="50">
        <f t="shared" ref="C23:N25" si="5">C5+C11+C17</f>
        <v>23048</v>
      </c>
      <c r="D23" s="50">
        <f t="shared" si="5"/>
        <v>1860</v>
      </c>
      <c r="E23" s="50">
        <f t="shared" si="5"/>
        <v>5548.6</v>
      </c>
      <c r="F23" s="50">
        <f t="shared" si="5"/>
        <v>16541</v>
      </c>
      <c r="G23" s="50">
        <f t="shared" si="5"/>
        <v>2224</v>
      </c>
      <c r="H23" s="50">
        <f t="shared" si="5"/>
        <v>38206</v>
      </c>
      <c r="I23" s="50">
        <f t="shared" si="5"/>
        <v>1050</v>
      </c>
      <c r="J23" s="50">
        <f t="shared" si="5"/>
        <v>25011</v>
      </c>
      <c r="K23" s="50">
        <f t="shared" si="5"/>
        <v>53</v>
      </c>
      <c r="L23" s="50">
        <f t="shared" si="5"/>
        <v>417</v>
      </c>
      <c r="M23" s="50">
        <f t="shared" si="5"/>
        <v>620</v>
      </c>
      <c r="N23" s="50">
        <f t="shared" si="5"/>
        <v>3245</v>
      </c>
      <c r="O23" s="50">
        <f t="shared" si="3"/>
        <v>6</v>
      </c>
      <c r="P23" s="56"/>
      <c r="Q23" s="39">
        <f>G23+N23</f>
        <v>5469</v>
      </c>
      <c r="R23" s="5">
        <f>SUM(K23:L23)</f>
        <v>470</v>
      </c>
      <c r="T23" s="5">
        <f t="shared" ref="T23:T25" si="6">SUM(C23:O23)</f>
        <v>117829.6</v>
      </c>
      <c r="V23" s="24"/>
      <c r="W23" s="26"/>
    </row>
    <row r="24" spans="1:23" ht="15" x14ac:dyDescent="0.25">
      <c r="A24" s="39">
        <f t="shared" si="4"/>
        <v>9038</v>
      </c>
      <c r="B24" s="3">
        <v>2040</v>
      </c>
      <c r="C24" s="50">
        <f t="shared" si="5"/>
        <v>9038</v>
      </c>
      <c r="D24" s="50">
        <f t="shared" si="5"/>
        <v>1860</v>
      </c>
      <c r="E24" s="50">
        <f t="shared" si="5"/>
        <v>14332.6</v>
      </c>
      <c r="F24" s="50">
        <f t="shared" si="5"/>
        <v>29517</v>
      </c>
      <c r="G24" s="50">
        <f t="shared" si="5"/>
        <v>2224</v>
      </c>
      <c r="H24" s="50">
        <f t="shared" si="5"/>
        <v>66600</v>
      </c>
      <c r="I24" s="50">
        <f t="shared" si="5"/>
        <v>1050</v>
      </c>
      <c r="J24" s="50">
        <f t="shared" si="5"/>
        <v>58867</v>
      </c>
      <c r="K24" s="50">
        <f t="shared" si="5"/>
        <v>358</v>
      </c>
      <c r="L24" s="50">
        <f t="shared" si="5"/>
        <v>417</v>
      </c>
      <c r="M24" s="50">
        <f t="shared" si="5"/>
        <v>3226</v>
      </c>
      <c r="N24" s="50">
        <f t="shared" si="5"/>
        <v>3245</v>
      </c>
      <c r="O24" s="50">
        <f t="shared" si="3"/>
        <v>6</v>
      </c>
      <c r="P24" s="56"/>
      <c r="Q24" s="39">
        <f>G24+N24</f>
        <v>5469</v>
      </c>
      <c r="R24" s="5">
        <f>SUM(K24:L24)</f>
        <v>775</v>
      </c>
      <c r="T24" s="5">
        <f t="shared" si="6"/>
        <v>190740.6</v>
      </c>
      <c r="V24" s="24"/>
      <c r="W24" s="26"/>
    </row>
    <row r="25" spans="1:23" ht="15" x14ac:dyDescent="0.25">
      <c r="A25" s="39">
        <f t="shared" si="4"/>
        <v>0</v>
      </c>
      <c r="B25" s="3">
        <v>2050</v>
      </c>
      <c r="C25" s="50">
        <f t="shared" si="5"/>
        <v>0</v>
      </c>
      <c r="D25" s="50">
        <f t="shared" si="5"/>
        <v>0</v>
      </c>
      <c r="E25" s="50">
        <f t="shared" si="5"/>
        <v>14332.6</v>
      </c>
      <c r="F25" s="50">
        <f t="shared" si="5"/>
        <v>28512</v>
      </c>
      <c r="G25" s="50">
        <f t="shared" si="5"/>
        <v>4724</v>
      </c>
      <c r="H25" s="50">
        <f t="shared" si="5"/>
        <v>82800</v>
      </c>
      <c r="I25" s="50">
        <f t="shared" si="5"/>
        <v>13400</v>
      </c>
      <c r="J25" s="50">
        <f t="shared" si="5"/>
        <v>84200</v>
      </c>
      <c r="K25" s="50">
        <f t="shared" si="5"/>
        <v>5720</v>
      </c>
      <c r="L25" s="50">
        <f t="shared" si="5"/>
        <v>9938</v>
      </c>
      <c r="M25" s="50">
        <f t="shared" si="5"/>
        <v>3015</v>
      </c>
      <c r="N25" s="50">
        <f t="shared" si="5"/>
        <v>4244</v>
      </c>
      <c r="O25" s="50">
        <f t="shared" si="3"/>
        <v>6</v>
      </c>
      <c r="P25" s="56"/>
      <c r="Q25" s="39">
        <f>G25+N25</f>
        <v>8968</v>
      </c>
      <c r="R25" s="5">
        <f>SUM(K25:L25)</f>
        <v>15658</v>
      </c>
      <c r="T25" s="5">
        <f t="shared" si="6"/>
        <v>250891.6</v>
      </c>
      <c r="V25" s="24"/>
      <c r="W25" s="26"/>
    </row>
    <row r="26" spans="1:23" ht="15" x14ac:dyDescent="0.25">
      <c r="A26" s="39"/>
      <c r="V26" s="11"/>
      <c r="W26" s="11"/>
    </row>
    <row r="27" spans="1:23" ht="15" x14ac:dyDescent="0.25">
      <c r="A27" s="39"/>
      <c r="B27" s="3">
        <v>2016</v>
      </c>
      <c r="C27" s="23">
        <f t="shared" ref="C27:O27" si="7">C22/$T22</f>
        <v>0.74086159250396799</v>
      </c>
      <c r="D27" s="23">
        <f t="shared" si="7"/>
        <v>3.74640466004399E-2</v>
      </c>
      <c r="E27" s="23">
        <f t="shared" si="7"/>
        <v>8.5522764443799904E-3</v>
      </c>
      <c r="F27" s="23">
        <f t="shared" si="7"/>
        <v>6.8865363078980654E-2</v>
      </c>
      <c r="G27" s="23">
        <f t="shared" si="7"/>
        <v>4.3889332012020721E-2</v>
      </c>
      <c r="H27" s="23">
        <f t="shared" si="7"/>
        <v>2.9407262385291535E-2</v>
      </c>
      <c r="I27" s="23">
        <f t="shared" si="7"/>
        <v>4.0283921075741826E-3</v>
      </c>
      <c r="J27" s="23">
        <f t="shared" si="7"/>
        <v>2.9789959635511083E-2</v>
      </c>
      <c r="K27" s="23">
        <f t="shared" si="7"/>
        <v>0</v>
      </c>
      <c r="L27" s="23">
        <f t="shared" si="7"/>
        <v>5.3174775819979214E-3</v>
      </c>
      <c r="M27" s="23">
        <f t="shared" si="7"/>
        <v>0</v>
      </c>
      <c r="N27" s="23">
        <f t="shared" si="7"/>
        <v>3.1824297649836047E-2</v>
      </c>
      <c r="O27" s="23">
        <f t="shared" si="7"/>
        <v>0</v>
      </c>
      <c r="P27" s="26"/>
      <c r="Q27" s="7">
        <f t="shared" ref="Q27:R30" si="8">Q22/$T22</f>
        <v>7.5713629661856768E-2</v>
      </c>
      <c r="R27" s="7">
        <f t="shared" si="8"/>
        <v>5.3174775819979214E-3</v>
      </c>
      <c r="T27" s="8">
        <f>SUM(C27:O27)</f>
        <v>1</v>
      </c>
    </row>
    <row r="28" spans="1:23" ht="15" x14ac:dyDescent="0.25">
      <c r="A28" s="39"/>
      <c r="B28" s="3">
        <v>2030</v>
      </c>
      <c r="C28" s="23">
        <f t="shared" ref="C28:O28" si="9">C23/$T23</f>
        <v>0.19560450005771043</v>
      </c>
      <c r="D28" s="23">
        <f t="shared" si="9"/>
        <v>1.5785507207017591E-2</v>
      </c>
      <c r="E28" s="23">
        <f t="shared" si="9"/>
        <v>4.7090035101536455E-2</v>
      </c>
      <c r="F28" s="23">
        <f t="shared" si="9"/>
        <v>0.14038068532864406</v>
      </c>
      <c r="G28" s="23">
        <f t="shared" si="9"/>
        <v>1.8874713993767271E-2</v>
      </c>
      <c r="H28" s="23">
        <f t="shared" si="9"/>
        <v>0.3242478969630721</v>
      </c>
      <c r="I28" s="23">
        <f t="shared" si="9"/>
        <v>8.9111734233163816E-3</v>
      </c>
      <c r="J28" s="23">
        <f t="shared" si="9"/>
        <v>0.21226415094339621</v>
      </c>
      <c r="K28" s="23">
        <f t="shared" si="9"/>
        <v>4.4980208708168405E-4</v>
      </c>
      <c r="L28" s="23">
        <f t="shared" si="9"/>
        <v>3.5390088738313629E-3</v>
      </c>
      <c r="M28" s="23">
        <f t="shared" si="9"/>
        <v>5.2618357356725301E-3</v>
      </c>
      <c r="N28" s="23">
        <f t="shared" si="9"/>
        <v>2.7539769293963484E-2</v>
      </c>
      <c r="O28" s="23">
        <f t="shared" si="9"/>
        <v>5.0920990990379323E-5</v>
      </c>
      <c r="P28" s="26"/>
      <c r="Q28" s="7">
        <f t="shared" si="8"/>
        <v>4.6414483287730755E-2</v>
      </c>
      <c r="R28" s="7">
        <f t="shared" si="8"/>
        <v>3.9888109609130468E-3</v>
      </c>
      <c r="T28" s="8">
        <f t="shared" ref="T28:T30" si="10">SUM(C28:O28)</f>
        <v>1</v>
      </c>
    </row>
    <row r="29" spans="1:23" ht="15" x14ac:dyDescent="0.25">
      <c r="A29" s="39"/>
      <c r="B29" s="3">
        <v>2040</v>
      </c>
      <c r="C29" s="23">
        <f t="shared" ref="C29:O29" si="11">C24/$T24</f>
        <v>4.7383724283136364E-2</v>
      </c>
      <c r="D29" s="23">
        <f t="shared" si="11"/>
        <v>9.7514635059342374E-3</v>
      </c>
      <c r="E29" s="23">
        <f t="shared" si="11"/>
        <v>7.5141841852232827E-2</v>
      </c>
      <c r="F29" s="23">
        <f t="shared" si="11"/>
        <v>0.15474943457239831</v>
      </c>
      <c r="G29" s="23">
        <f t="shared" si="11"/>
        <v>1.1659814428600937E-2</v>
      </c>
      <c r="H29" s="23">
        <f t="shared" si="11"/>
        <v>0.3491653061802259</v>
      </c>
      <c r="I29" s="23">
        <f t="shared" si="11"/>
        <v>5.5048584307693278E-3</v>
      </c>
      <c r="J29" s="23">
        <f t="shared" si="11"/>
        <v>0.30862333451818857</v>
      </c>
      <c r="K29" s="23">
        <f t="shared" si="11"/>
        <v>1.8768945887765898E-3</v>
      </c>
      <c r="L29" s="23">
        <f t="shared" si="11"/>
        <v>2.1862152053626757E-3</v>
      </c>
      <c r="M29" s="23">
        <f t="shared" si="11"/>
        <v>1.6913022188249381E-2</v>
      </c>
      <c r="N29" s="23">
        <f t="shared" si="11"/>
        <v>1.7012633912234731E-2</v>
      </c>
      <c r="O29" s="23">
        <f t="shared" si="11"/>
        <v>3.1456333890110444E-5</v>
      </c>
      <c r="P29" s="26"/>
      <c r="Q29" s="7">
        <f t="shared" si="8"/>
        <v>2.8672448340835668E-2</v>
      </c>
      <c r="R29" s="7">
        <f t="shared" si="8"/>
        <v>4.0631097941392653E-3</v>
      </c>
      <c r="T29" s="8">
        <f t="shared" si="10"/>
        <v>1</v>
      </c>
    </row>
    <row r="30" spans="1:23" ht="15" x14ac:dyDescent="0.25">
      <c r="A30" s="39"/>
      <c r="B30" s="3">
        <v>2050</v>
      </c>
      <c r="C30" s="23">
        <f t="shared" ref="C30:O30" si="12">C25/$T25</f>
        <v>0</v>
      </c>
      <c r="D30" s="23">
        <f t="shared" si="12"/>
        <v>0</v>
      </c>
      <c r="E30" s="23">
        <f t="shared" si="12"/>
        <v>5.7126663467409827E-2</v>
      </c>
      <c r="F30" s="23">
        <f t="shared" si="12"/>
        <v>0.11364270465810733</v>
      </c>
      <c r="G30" s="23">
        <f t="shared" si="12"/>
        <v>1.8828848793662284E-2</v>
      </c>
      <c r="H30" s="23">
        <f t="shared" si="12"/>
        <v>0.3300230059515743</v>
      </c>
      <c r="I30" s="23">
        <f t="shared" si="12"/>
        <v>5.3409520286848977E-2</v>
      </c>
      <c r="J30" s="23">
        <f t="shared" si="12"/>
        <v>0.3356031050860212</v>
      </c>
      <c r="K30" s="23">
        <f t="shared" si="12"/>
        <v>2.2798690749311654E-2</v>
      </c>
      <c r="L30" s="23">
        <f t="shared" si="12"/>
        <v>3.961073228438098E-2</v>
      </c>
      <c r="M30" s="23">
        <f t="shared" si="12"/>
        <v>1.201714206454102E-2</v>
      </c>
      <c r="N30" s="23">
        <f t="shared" si="12"/>
        <v>1.6915671947566199E-2</v>
      </c>
      <c r="O30" s="23">
        <f t="shared" si="12"/>
        <v>2.3914710576201038E-5</v>
      </c>
      <c r="P30" s="26"/>
      <c r="Q30" s="7">
        <f t="shared" si="8"/>
        <v>3.5744520741228483E-2</v>
      </c>
      <c r="R30" s="7">
        <f t="shared" si="8"/>
        <v>6.2409423033692638E-2</v>
      </c>
      <c r="T30" s="8">
        <f t="shared" si="10"/>
        <v>0.99999999999999978</v>
      </c>
    </row>
    <row r="31" spans="1:23" ht="15" x14ac:dyDescent="0.25">
      <c r="A31" s="39"/>
    </row>
    <row r="32" spans="1:23" s="9" customFormat="1" ht="21" x14ac:dyDescent="0.35">
      <c r="A32" s="86"/>
      <c r="B32" s="10" t="s">
        <v>53</v>
      </c>
    </row>
    <row r="33" spans="1:37" ht="30" x14ac:dyDescent="0.25">
      <c r="A33" s="39"/>
      <c r="B33" s="43" t="s">
        <v>34</v>
      </c>
      <c r="C33" s="43" t="s">
        <v>0</v>
      </c>
      <c r="D33" s="43" t="s">
        <v>1</v>
      </c>
      <c r="E33" s="43" t="s">
        <v>28</v>
      </c>
      <c r="F33" s="2" t="s">
        <v>29</v>
      </c>
      <c r="G33" s="2" t="s">
        <v>6</v>
      </c>
      <c r="H33" s="43" t="s">
        <v>2</v>
      </c>
      <c r="I33" s="43" t="s">
        <v>3</v>
      </c>
      <c r="J33" s="43" t="s">
        <v>4</v>
      </c>
      <c r="K33" s="43" t="s">
        <v>9</v>
      </c>
      <c r="L33" s="43" t="s">
        <v>8</v>
      </c>
      <c r="M33" s="43" t="s">
        <v>25</v>
      </c>
      <c r="N33" s="43" t="s">
        <v>7</v>
      </c>
      <c r="O33" s="43" t="s">
        <v>89</v>
      </c>
      <c r="P33" s="25"/>
      <c r="Q33" s="43" t="s">
        <v>5</v>
      </c>
      <c r="R33" s="43" t="s">
        <v>91</v>
      </c>
      <c r="T33" s="43" t="s">
        <v>10</v>
      </c>
      <c r="X33" s="39"/>
      <c r="Y33" s="39"/>
      <c r="Z33" s="39"/>
    </row>
    <row r="34" spans="1:37" ht="15" x14ac:dyDescent="0.25">
      <c r="A34" s="39"/>
      <c r="B34" s="3">
        <v>2016</v>
      </c>
      <c r="C34" s="50">
        <f>'HC-BC'!C34</f>
        <v>194808.80434990322</v>
      </c>
      <c r="D34" s="50">
        <f>'HC-BC'!D34</f>
        <v>14743.87884401034</v>
      </c>
      <c r="E34" s="50">
        <f>'HC-BC'!E34</f>
        <v>756.07675598824017</v>
      </c>
      <c r="F34" s="50">
        <f>'HC-BC'!F34</f>
        <v>2024.3136712665919</v>
      </c>
      <c r="G34" s="50">
        <f>'HC-BC'!G34</f>
        <v>15799.124268819065</v>
      </c>
      <c r="H34" s="50">
        <f>'HC-BC'!H34</f>
        <v>4022.2162852660199</v>
      </c>
      <c r="I34" s="50">
        <f>'HC-BC'!I34</f>
        <v>827.66992563012559</v>
      </c>
      <c r="J34" s="50">
        <f>'HC-BC'!J34</f>
        <v>2639.0862346009021</v>
      </c>
      <c r="K34" s="50">
        <f>'HC-BC'!K34</f>
        <v>0</v>
      </c>
      <c r="L34" s="50">
        <f>'HC-BC'!L34</f>
        <v>1583.7347303540462</v>
      </c>
      <c r="M34" s="50">
        <f>'HC-BC'!M34</f>
        <v>0</v>
      </c>
      <c r="N34" s="50">
        <f>'HC-BC'!N34</f>
        <v>2994.3929759978951</v>
      </c>
      <c r="O34" s="50">
        <f>'HC-BC'!P34</f>
        <v>0</v>
      </c>
      <c r="P34" s="56"/>
      <c r="Q34" s="39">
        <f>G34+N34</f>
        <v>18793.517244816961</v>
      </c>
      <c r="R34" s="5">
        <f>SUM(K34:L34)</f>
        <v>1583.7347303540462</v>
      </c>
      <c r="T34" s="5">
        <f>SUM(C34:O34)</f>
        <v>240199.29804183645</v>
      </c>
      <c r="X34" s="39"/>
      <c r="Y34" s="39"/>
      <c r="Z34" s="39"/>
      <c r="AA34" s="39"/>
      <c r="AB34" s="39"/>
    </row>
    <row r="35" spans="1:37" ht="15" x14ac:dyDescent="0.25">
      <c r="A35" s="39"/>
      <c r="B35" s="3">
        <v>2030</v>
      </c>
      <c r="C35" s="102">
        <f>Y35*(Inputs_Summary!$E73/$Y53)</f>
        <v>92421.765602833388</v>
      </c>
      <c r="D35" s="102">
        <f>Z35*(Inputs_Summary!$E73/$Y53)</f>
        <v>14191.036682436137</v>
      </c>
      <c r="E35" s="102">
        <f>AA35*(Inputs_Summary!$E73/$Y53)</f>
        <v>2223.5650088198649</v>
      </c>
      <c r="F35" s="102">
        <f>AB35*(Inputs_Summary!$E73/$Y53)</f>
        <v>148.91765655399095</v>
      </c>
      <c r="G35" s="102">
        <f>AC35*(Inputs_Summary!$E73/$Y53)</f>
        <v>11617.617179109295</v>
      </c>
      <c r="H35" s="102">
        <f>AD35*(Inputs_Summary!$E73/$Y53)</f>
        <v>4187.0341106447459</v>
      </c>
      <c r="I35" s="102">
        <f>AE35*(Inputs_Summary!$E73/$Y53)</f>
        <v>839.44679002694897</v>
      </c>
      <c r="J35" s="102">
        <f>AF35*(Inputs_Summary!$E73/$Y53)</f>
        <v>2623.3987168278409</v>
      </c>
      <c r="K35" s="102">
        <f>AG35*(Inputs_Summary!$E73/$Y53)</f>
        <v>0</v>
      </c>
      <c r="L35" s="102">
        <f>AH35*(Inputs_Summary!$E73/$Y53)</f>
        <v>1577.9151691029042</v>
      </c>
      <c r="M35" s="102">
        <f>AI35*(Inputs_Summary!$E73/$Y53)</f>
        <v>0</v>
      </c>
      <c r="N35" s="102">
        <f>AJ35*(Inputs_Summary!$E73/$Y53)</f>
        <v>2593.8191823068423</v>
      </c>
      <c r="O35" s="102">
        <f>AK35*(Inputs_Summary!$E73/$Y53)</f>
        <v>0</v>
      </c>
      <c r="P35" s="56"/>
      <c r="Q35" s="39">
        <f>G35+N35</f>
        <v>14211.436361416138</v>
      </c>
      <c r="R35" s="5">
        <f>SUM(K35:L35)</f>
        <v>1577.9151691029042</v>
      </c>
      <c r="T35" s="5">
        <f t="shared" ref="T35:T37" si="13">SUM(C35:O35)</f>
        <v>132424.51609866196</v>
      </c>
      <c r="Y35" s="39">
        <v>90611</v>
      </c>
      <c r="Z35" s="39">
        <v>13913</v>
      </c>
      <c r="AA35" s="39">
        <v>2180</v>
      </c>
      <c r="AB35" s="39">
        <v>146</v>
      </c>
      <c r="AC35" s="39">
        <v>11390</v>
      </c>
      <c r="AD35" s="39">
        <v>4105</v>
      </c>
      <c r="AE35" s="3">
        <v>823</v>
      </c>
      <c r="AF35" s="39">
        <v>2572</v>
      </c>
      <c r="AG35" s="3">
        <v>0</v>
      </c>
      <c r="AH35" s="39">
        <v>1547</v>
      </c>
      <c r="AI35" s="3">
        <v>0</v>
      </c>
      <c r="AJ35" s="39">
        <v>2543</v>
      </c>
    </row>
    <row r="36" spans="1:37" ht="15" x14ac:dyDescent="0.25">
      <c r="A36" s="39"/>
      <c r="B36" s="3">
        <v>2040</v>
      </c>
      <c r="C36" s="102">
        <f>Y36*(Inputs_Summary!$E74/$Y54)</f>
        <v>16854.354639800604</v>
      </c>
      <c r="D36" s="102">
        <f>Z36*(Inputs_Summary!$E74/$Y54)</f>
        <v>13436.886437498186</v>
      </c>
      <c r="E36" s="102">
        <f>AA36*(Inputs_Summary!$E74/$Y54)</f>
        <v>2269.6086209825039</v>
      </c>
      <c r="F36" s="102">
        <f>AB36*(Inputs_Summary!$E74/$Y54)</f>
        <v>82.348631380781114</v>
      </c>
      <c r="G36" s="102">
        <f>AC36*(Inputs_Summary!$E74/$Y54)</f>
        <v>11041.746366240102</v>
      </c>
      <c r="H36" s="102">
        <f>AD36*(Inputs_Summary!$E74/$Y54)</f>
        <v>0</v>
      </c>
      <c r="I36" s="102">
        <f>AE36*(Inputs_Summary!$E74/$Y54)</f>
        <v>846.58410065851797</v>
      </c>
      <c r="J36" s="102">
        <f>AF36*(Inputs_Summary!$E74/$Y54)</f>
        <v>776.28648850419268</v>
      </c>
      <c r="K36" s="102">
        <f>AG36*(Inputs_Summary!$E74/$Y54)</f>
        <v>0</v>
      </c>
      <c r="L36" s="102">
        <f>AH36*(Inputs_Summary!$E74/$Y54)</f>
        <v>1652.9981372288501</v>
      </c>
      <c r="M36" s="102">
        <f>AI36*(Inputs_Summary!$E74/$Y54)</f>
        <v>0</v>
      </c>
      <c r="N36" s="102">
        <f>AJ36*(Inputs_Summary!$E74/$Y54)</f>
        <v>2650.2199782180651</v>
      </c>
      <c r="O36" s="102">
        <f>AK36*(Inputs_Summary!$E74/$Y54)</f>
        <v>0</v>
      </c>
      <c r="P36" s="56"/>
      <c r="Q36" s="39">
        <f>G36+N36</f>
        <v>13691.966344458167</v>
      </c>
      <c r="R36" s="5">
        <f>SUM(K36:L36)</f>
        <v>1652.9981372288501</v>
      </c>
      <c r="T36" s="5">
        <f t="shared" si="13"/>
        <v>49611.033400511806</v>
      </c>
      <c r="Y36" s="39">
        <v>16783</v>
      </c>
      <c r="Z36" s="39">
        <v>13380</v>
      </c>
      <c r="AA36" s="39">
        <v>2260</v>
      </c>
      <c r="AB36" s="39">
        <v>82</v>
      </c>
      <c r="AC36" s="39">
        <v>10995</v>
      </c>
      <c r="AD36" s="39">
        <v>0</v>
      </c>
      <c r="AE36" s="3">
        <v>843</v>
      </c>
      <c r="AF36" s="3">
        <v>773</v>
      </c>
      <c r="AG36" s="3">
        <v>0</v>
      </c>
      <c r="AH36" s="39">
        <v>1646</v>
      </c>
      <c r="AI36" s="3">
        <v>0</v>
      </c>
      <c r="AJ36" s="39">
        <v>2639</v>
      </c>
    </row>
    <row r="37" spans="1:37" ht="15" x14ac:dyDescent="0.25">
      <c r="A37" s="39"/>
      <c r="B37" s="3">
        <v>2050</v>
      </c>
      <c r="C37" s="102">
        <f>Y37*(Inputs_Summary!$E75/$Y55)</f>
        <v>0</v>
      </c>
      <c r="D37" s="102">
        <f>Z37*(Inputs_Summary!$E75/$Y55)</f>
        <v>0</v>
      </c>
      <c r="E37" s="102">
        <f>AA37*(Inputs_Summary!$E75/$Y55)</f>
        <v>2229.6731295752816</v>
      </c>
      <c r="F37" s="102">
        <f>AB37*(Inputs_Summary!$E75/$Y55)</f>
        <v>0</v>
      </c>
      <c r="G37" s="102">
        <f>AC37*(Inputs_Summary!$E75/$Y55)</f>
        <v>9653.4364706303604</v>
      </c>
      <c r="H37" s="102">
        <f>AD37*(Inputs_Summary!$E75/$Y55)</f>
        <v>0</v>
      </c>
      <c r="I37" s="102">
        <f>AE37*(Inputs_Summary!$E75/$Y55)</f>
        <v>0</v>
      </c>
      <c r="J37" s="102">
        <f>AF37*(Inputs_Summary!$E75/$Y55)</f>
        <v>0</v>
      </c>
      <c r="K37" s="102">
        <f>AG37*(Inputs_Summary!$E75/$Y55)</f>
        <v>0</v>
      </c>
      <c r="L37" s="102">
        <f>AH37*(Inputs_Summary!$E75/$Y55)</f>
        <v>1588.5530603683317</v>
      </c>
      <c r="M37" s="102">
        <f>AI37*(Inputs_Summary!$E75/$Y55)</f>
        <v>0</v>
      </c>
      <c r="N37" s="102">
        <f>AJ37*(Inputs_Summary!$E75/$Y55)</f>
        <v>2373.1619069692179</v>
      </c>
      <c r="O37" s="102">
        <f>AK37*(Inputs_Summary!$E75/$Y55)</f>
        <v>0</v>
      </c>
      <c r="P37" s="56"/>
      <c r="Q37" s="39">
        <f>G37+N37</f>
        <v>12026.598377599577</v>
      </c>
      <c r="R37" s="5">
        <f>SUM(K37:L37)</f>
        <v>1588.5530603683317</v>
      </c>
      <c r="T37" s="5">
        <f t="shared" si="13"/>
        <v>15844.82456754319</v>
      </c>
      <c r="Y37" s="39">
        <v>0</v>
      </c>
      <c r="Z37" s="39">
        <v>0</v>
      </c>
      <c r="AA37" s="39">
        <v>2191</v>
      </c>
      <c r="AB37" s="3">
        <v>0</v>
      </c>
      <c r="AC37" s="39">
        <v>9486</v>
      </c>
      <c r="AD37" s="39">
        <v>0</v>
      </c>
      <c r="AE37" s="3">
        <v>0</v>
      </c>
      <c r="AF37" s="3">
        <v>0</v>
      </c>
      <c r="AG37" s="3">
        <v>0</v>
      </c>
      <c r="AH37" s="39">
        <v>1561</v>
      </c>
      <c r="AI37" s="3">
        <v>0</v>
      </c>
      <c r="AJ37" s="39">
        <v>2332</v>
      </c>
    </row>
    <row r="38" spans="1:37" ht="15" x14ac:dyDescent="0.25">
      <c r="A38" s="39"/>
      <c r="Q38" s="5"/>
      <c r="R38" s="5"/>
      <c r="S38" s="5"/>
      <c r="X38" s="39"/>
      <c r="Y38" s="39"/>
      <c r="Z38" s="39"/>
      <c r="AA38" s="39"/>
      <c r="AB38" s="39"/>
    </row>
    <row r="39" spans="1:37" ht="30" x14ac:dyDescent="0.25">
      <c r="A39" s="39"/>
      <c r="B39" s="43" t="s">
        <v>35</v>
      </c>
      <c r="C39" s="43" t="s">
        <v>0</v>
      </c>
      <c r="D39" s="43" t="s">
        <v>1</v>
      </c>
      <c r="E39" s="43" t="s">
        <v>28</v>
      </c>
      <c r="F39" s="2" t="s">
        <v>29</v>
      </c>
      <c r="G39" s="2" t="s">
        <v>6</v>
      </c>
      <c r="H39" s="43" t="s">
        <v>2</v>
      </c>
      <c r="I39" s="43" t="s">
        <v>3</v>
      </c>
      <c r="J39" s="43" t="s">
        <v>4</v>
      </c>
      <c r="K39" s="43" t="s">
        <v>9</v>
      </c>
      <c r="L39" s="43" t="s">
        <v>8</v>
      </c>
      <c r="M39" s="43" t="s">
        <v>25</v>
      </c>
      <c r="N39" s="43" t="s">
        <v>7</v>
      </c>
      <c r="O39" s="43" t="s">
        <v>89</v>
      </c>
      <c r="P39" s="25"/>
      <c r="Q39" s="43" t="s">
        <v>5</v>
      </c>
      <c r="R39" s="43" t="s">
        <v>91</v>
      </c>
      <c r="T39" s="43" t="s">
        <v>10</v>
      </c>
      <c r="X39" s="39"/>
      <c r="Y39" s="39"/>
      <c r="Z39" s="39"/>
    </row>
    <row r="40" spans="1:37" ht="15" x14ac:dyDescent="0.25">
      <c r="A40" s="39"/>
      <c r="B40" s="3">
        <v>2016</v>
      </c>
      <c r="C40" s="102">
        <f>Y40*(Inputs_Summary!$E72/$Y52)</f>
        <v>0</v>
      </c>
      <c r="D40" s="102">
        <f>Z40*(Inputs_Summary!$E72/$Y52)</f>
        <v>0</v>
      </c>
      <c r="E40" s="102">
        <f>AA40*(Inputs_Summary!$E72/$Y52)</f>
        <v>0</v>
      </c>
      <c r="F40" s="102">
        <f>AB40*(Inputs_Summary!$E72/$Y52)</f>
        <v>0</v>
      </c>
      <c r="G40" s="102">
        <f>AC40*(Inputs_Summary!$E72/$Y52)</f>
        <v>0</v>
      </c>
      <c r="H40" s="102">
        <f>AD40*(Inputs_Summary!$E72/$Y52)</f>
        <v>0</v>
      </c>
      <c r="I40" s="102">
        <f>AE40*(Inputs_Summary!$E72/$Y52)</f>
        <v>0</v>
      </c>
      <c r="J40" s="102">
        <f>AF40*(Inputs_Summary!$E72/$Y52)</f>
        <v>0</v>
      </c>
      <c r="K40" s="102">
        <f>AG40*(Inputs_Summary!$E72/$Y52)</f>
        <v>0</v>
      </c>
      <c r="L40" s="102">
        <f>AH40*(Inputs_Summary!$E72/$Y52)</f>
        <v>0</v>
      </c>
      <c r="M40" s="102">
        <f>AI40*(Inputs_Summary!$E72/$Y52)</f>
        <v>0</v>
      </c>
      <c r="N40" s="102">
        <f>AJ40*(Inputs_Summary!$E72/$Y52)</f>
        <v>0</v>
      </c>
      <c r="O40" s="102">
        <f>AK40*(Inputs_Summary!$E72/$Y52)</f>
        <v>0</v>
      </c>
      <c r="P40" s="56"/>
      <c r="Q40" s="39">
        <f>G40+N40</f>
        <v>0</v>
      </c>
      <c r="R40" s="5">
        <f>SUM(K40:L40)</f>
        <v>0</v>
      </c>
      <c r="T40" s="5">
        <f>SUM(C40:O40)</f>
        <v>0</v>
      </c>
      <c r="X40" s="39"/>
      <c r="Y40" s="39"/>
      <c r="Z40" s="39"/>
      <c r="AA40" s="39"/>
      <c r="AB40" s="39"/>
    </row>
    <row r="41" spans="1:37" ht="15" x14ac:dyDescent="0.25">
      <c r="A41" s="39"/>
      <c r="B41" s="3">
        <v>2030</v>
      </c>
      <c r="C41" s="102">
        <f>Y41*(Inputs_Summary!$E73/$Y53)</f>
        <v>34359.179306011916</v>
      </c>
      <c r="D41" s="102">
        <f>Z41*(Inputs_Summary!$E73/$Y53)</f>
        <v>0</v>
      </c>
      <c r="E41" s="102">
        <f>AA41*(Inputs_Summary!$E73/$Y53)</f>
        <v>0</v>
      </c>
      <c r="F41" s="102">
        <f>AB41*(Inputs_Summary!$E73/$Y53)</f>
        <v>0</v>
      </c>
      <c r="G41" s="102">
        <f>AC41*(Inputs_Summary!$E73/$Y53)</f>
        <v>194.81693425898817</v>
      </c>
      <c r="H41" s="102">
        <f>AD41*(Inputs_Summary!$E73/$Y53)</f>
        <v>8977.8987190974549</v>
      </c>
      <c r="I41" s="102">
        <f>AE41*(Inputs_Summary!$E73/$Y53)</f>
        <v>4213.5536933187441</v>
      </c>
      <c r="J41" s="102">
        <f>AF41*(Inputs_Summary!$E73/$Y53)</f>
        <v>2363.3028098328564</v>
      </c>
      <c r="K41" s="102">
        <f>AG41*(Inputs_Summary!$E73/$Y53)</f>
        <v>353.93443030297851</v>
      </c>
      <c r="L41" s="102">
        <f>AH41*(Inputs_Summary!$E73/$Y53)</f>
        <v>1026.1038526939376</v>
      </c>
      <c r="M41" s="102">
        <f>AI41*(Inputs_Summary!$E73/$Y53)</f>
        <v>0</v>
      </c>
      <c r="N41" s="102">
        <f>AJ41*(Inputs_Summary!$E73/$Y53)</f>
        <v>3206.8295356558051</v>
      </c>
      <c r="O41" s="102">
        <f>AK41*(Inputs_Summary!$E73/$Y53)</f>
        <v>0</v>
      </c>
      <c r="P41" s="56"/>
      <c r="Q41" s="39">
        <f>G41+N41</f>
        <v>3401.6464699147932</v>
      </c>
      <c r="R41" s="5">
        <f>SUM(K41:L41)</f>
        <v>1380.0382829969162</v>
      </c>
      <c r="T41" s="5">
        <f t="shared" ref="T41:T43" si="14">SUM(C41:O41)</f>
        <v>54695.619281172694</v>
      </c>
      <c r="Y41" s="39">
        <v>33686</v>
      </c>
      <c r="Z41" s="39">
        <v>0</v>
      </c>
      <c r="AA41" s="39">
        <v>0</v>
      </c>
      <c r="AB41" s="39">
        <v>0</v>
      </c>
      <c r="AC41" s="39">
        <v>191</v>
      </c>
      <c r="AD41" s="39">
        <v>8802</v>
      </c>
      <c r="AE41" s="39">
        <v>4131</v>
      </c>
      <c r="AF41" s="39">
        <v>2317</v>
      </c>
      <c r="AG41" s="3">
        <v>347</v>
      </c>
      <c r="AH41" s="39">
        <v>1006</v>
      </c>
      <c r="AI41" s="3">
        <v>0</v>
      </c>
      <c r="AJ41" s="39">
        <v>3144</v>
      </c>
    </row>
    <row r="42" spans="1:37" ht="15" x14ac:dyDescent="0.25">
      <c r="A42" s="39"/>
      <c r="B42" s="3">
        <v>2040</v>
      </c>
      <c r="C42" s="102">
        <f>Y42*(Inputs_Summary!$E74/$Y54)</f>
        <v>33220.643000929747</v>
      </c>
      <c r="D42" s="102">
        <f>Z42*(Inputs_Summary!$E74/$Y54)</f>
        <v>0</v>
      </c>
      <c r="E42" s="102">
        <f>AA42*(Inputs_Summary!$E74/$Y54)</f>
        <v>0</v>
      </c>
      <c r="F42" s="102">
        <f>AB42*(Inputs_Summary!$E74/$Y54)</f>
        <v>0</v>
      </c>
      <c r="G42" s="102">
        <f>AC42*(Inputs_Summary!$E74/$Y54)</f>
        <v>197.83756563431561</v>
      </c>
      <c r="H42" s="102">
        <f>AD42*(Inputs_Summary!$E74/$Y54)</f>
        <v>0</v>
      </c>
      <c r="I42" s="102">
        <f>AE42*(Inputs_Summary!$E74/$Y54)</f>
        <v>4230.9120000881812</v>
      </c>
      <c r="J42" s="102">
        <f>AF42*(Inputs_Summary!$E74/$Y54)</f>
        <v>2377.0635424184011</v>
      </c>
      <c r="K42" s="102">
        <f>AG42*(Inputs_Summary!$E74/$Y54)</f>
        <v>359.52207358926387</v>
      </c>
      <c r="L42" s="102">
        <f>AH42*(Inputs_Summary!$E74/$Y54)</f>
        <v>1024.3366342487407</v>
      </c>
      <c r="M42" s="102">
        <f>AI42*(Inputs_Summary!$E74/$Y54)</f>
        <v>0</v>
      </c>
      <c r="N42" s="102">
        <f>AJ42*(Inputs_Summary!$E74/$Y54)</f>
        <v>3199.5456046240074</v>
      </c>
      <c r="O42" s="102">
        <f>AK42*(Inputs_Summary!$E74/$Y54)</f>
        <v>0</v>
      </c>
      <c r="P42" s="56"/>
      <c r="Q42" s="39">
        <f>G42+N42</f>
        <v>3397.3831702583229</v>
      </c>
      <c r="R42" s="5">
        <f>SUM(K42:L42)</f>
        <v>1383.8587078380046</v>
      </c>
      <c r="T42" s="5">
        <f t="shared" si="14"/>
        <v>44609.860421532656</v>
      </c>
      <c r="Y42" s="39">
        <v>33080</v>
      </c>
      <c r="Z42" s="39">
        <v>0</v>
      </c>
      <c r="AA42" s="3">
        <v>0</v>
      </c>
      <c r="AB42" s="39">
        <v>0</v>
      </c>
      <c r="AC42" s="39">
        <v>197</v>
      </c>
      <c r="AD42" s="39">
        <v>0</v>
      </c>
      <c r="AE42" s="39">
        <v>4213</v>
      </c>
      <c r="AF42" s="39">
        <v>2367</v>
      </c>
      <c r="AG42" s="3">
        <v>358</v>
      </c>
      <c r="AH42" s="39">
        <v>1020</v>
      </c>
      <c r="AI42" s="3">
        <v>0</v>
      </c>
      <c r="AJ42" s="39">
        <v>3186</v>
      </c>
    </row>
    <row r="43" spans="1:37" ht="15" x14ac:dyDescent="0.25">
      <c r="A43" s="39"/>
      <c r="B43" s="3">
        <v>2050</v>
      </c>
      <c r="C43" s="102">
        <f>Y43*(Inputs_Summary!$E75/$Y55)</f>
        <v>0</v>
      </c>
      <c r="D43" s="102">
        <f>Z43*(Inputs_Summary!$E75/$Y55)</f>
        <v>0</v>
      </c>
      <c r="E43" s="102">
        <f>AA43*(Inputs_Summary!$E75/$Y55)</f>
        <v>0</v>
      </c>
      <c r="F43" s="102">
        <f>AB43*(Inputs_Summary!$E75/$Y55)</f>
        <v>0</v>
      </c>
      <c r="G43" s="102">
        <f>AC43*(Inputs_Summary!$E75/$Y55)</f>
        <v>193.35367166558808</v>
      </c>
      <c r="H43" s="102">
        <f>AD43*(Inputs_Summary!$E75/$Y55)</f>
        <v>0</v>
      </c>
      <c r="I43" s="102">
        <f>AE43*(Inputs_Summary!$E75/$Y55)</f>
        <v>0</v>
      </c>
      <c r="J43" s="102">
        <f>AF43*(Inputs_Summary!$E75/$Y55)</f>
        <v>0</v>
      </c>
      <c r="K43" s="102">
        <f>AG43*(Inputs_Summary!$E75/$Y55)</f>
        <v>0</v>
      </c>
      <c r="L43" s="102">
        <f>AH43*(Inputs_Summary!$E75/$Y55)</f>
        <v>0</v>
      </c>
      <c r="M43" s="102">
        <f>AI43*(Inputs_Summary!$E75/$Y55)</f>
        <v>0</v>
      </c>
      <c r="N43" s="102">
        <f>AJ43*(Inputs_Summary!$E75/$Y55)</f>
        <v>2849.4225298086667</v>
      </c>
      <c r="O43" s="102">
        <f>AK43*(Inputs_Summary!$E75/$Y55)</f>
        <v>0</v>
      </c>
      <c r="P43" s="56"/>
      <c r="Q43" s="39">
        <f>G43+N43</f>
        <v>3042.7762014742548</v>
      </c>
      <c r="R43" s="5">
        <f>SUM(K43:L43)</f>
        <v>0</v>
      </c>
      <c r="T43" s="5">
        <f t="shared" si="14"/>
        <v>3042.7762014742548</v>
      </c>
      <c r="X43" s="39"/>
      <c r="Y43" s="39">
        <v>0</v>
      </c>
      <c r="Z43" s="39">
        <v>0</v>
      </c>
      <c r="AA43" s="3">
        <v>0</v>
      </c>
      <c r="AB43" s="3">
        <v>0</v>
      </c>
      <c r="AC43" s="39">
        <v>190</v>
      </c>
      <c r="AD43" s="39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9">
        <v>2800</v>
      </c>
    </row>
    <row r="44" spans="1:37" ht="15" x14ac:dyDescent="0.25">
      <c r="A44" s="39"/>
      <c r="Q44" s="5"/>
      <c r="R44" s="5"/>
      <c r="S44" s="5"/>
      <c r="X44" s="39"/>
      <c r="Y44" s="39"/>
      <c r="Z44" s="39"/>
      <c r="AA44" s="39"/>
      <c r="AB44" s="39"/>
    </row>
    <row r="45" spans="1:37" ht="30" x14ac:dyDescent="0.25">
      <c r="A45" s="39"/>
      <c r="B45" s="43" t="s">
        <v>36</v>
      </c>
      <c r="C45" s="43" t="s">
        <v>0</v>
      </c>
      <c r="D45" s="43" t="s">
        <v>1</v>
      </c>
      <c r="E45" s="43" t="s">
        <v>28</v>
      </c>
      <c r="F45" s="2" t="s">
        <v>29</v>
      </c>
      <c r="G45" s="2" t="s">
        <v>6</v>
      </c>
      <c r="H45" s="43" t="s">
        <v>2</v>
      </c>
      <c r="I45" s="43" t="s">
        <v>3</v>
      </c>
      <c r="J45" s="43" t="s">
        <v>4</v>
      </c>
      <c r="K45" s="43" t="s">
        <v>9</v>
      </c>
      <c r="L45" s="43" t="s">
        <v>8</v>
      </c>
      <c r="M45" s="43" t="s">
        <v>25</v>
      </c>
      <c r="N45" s="43" t="s">
        <v>7</v>
      </c>
      <c r="O45" s="43" t="s">
        <v>89</v>
      </c>
      <c r="P45" s="25"/>
      <c r="Q45" s="43" t="s">
        <v>5</v>
      </c>
      <c r="R45" s="43" t="s">
        <v>91</v>
      </c>
      <c r="T45" s="43" t="s">
        <v>10</v>
      </c>
      <c r="X45" s="39"/>
      <c r="Y45" s="39"/>
      <c r="Z45" s="39"/>
      <c r="AB45" s="39"/>
      <c r="AC45" s="39"/>
      <c r="AD45" s="39"/>
    </row>
    <row r="46" spans="1:37" ht="15" x14ac:dyDescent="0.25">
      <c r="A46" s="39"/>
      <c r="B46" s="3">
        <v>2016</v>
      </c>
      <c r="C46" s="102">
        <f>Y46*(Inputs_Summary!$E72/$Y52)</f>
        <v>0</v>
      </c>
      <c r="D46" s="102">
        <f>Z46*(Inputs_Summary!$E72/$Y52)</f>
        <v>0</v>
      </c>
      <c r="E46" s="102">
        <f>AA46*(Inputs_Summary!$E72/$Y52)</f>
        <v>0</v>
      </c>
      <c r="F46" s="102">
        <f>AB46*(Inputs_Summary!$E72/$Y52)</f>
        <v>0</v>
      </c>
      <c r="G46" s="102">
        <f>AC46*(Inputs_Summary!$E72/$Y52)</f>
        <v>0</v>
      </c>
      <c r="H46" s="102">
        <f>AD46*(Inputs_Summary!$E72/$Y52)</f>
        <v>0</v>
      </c>
      <c r="I46" s="102">
        <f>AE46*(Inputs_Summary!$E72/$Y52)</f>
        <v>0</v>
      </c>
      <c r="J46" s="102">
        <f>AF46*(Inputs_Summary!$E72/$Y52)</f>
        <v>0</v>
      </c>
      <c r="K46" s="102">
        <f>AG46*(Inputs_Summary!$E72/$Y52)</f>
        <v>0</v>
      </c>
      <c r="L46" s="102">
        <f>AH46*(Inputs_Summary!$E72/$Y52)</f>
        <v>0</v>
      </c>
      <c r="M46" s="102">
        <v>0</v>
      </c>
      <c r="N46" s="102">
        <f>AJ46*(Inputs_Summary!$E72/$Y52)</f>
        <v>0</v>
      </c>
      <c r="O46" s="102">
        <f>AK46*(Inputs_Summary!$E72/$Y52)</f>
        <v>0</v>
      </c>
      <c r="P46" s="56"/>
      <c r="Q46" s="39">
        <f>G46+N46</f>
        <v>0</v>
      </c>
      <c r="R46" s="5">
        <f>SUM(K46:L46)</f>
        <v>0</v>
      </c>
      <c r="T46" s="5">
        <f>SUM(C46:O46)</f>
        <v>0</v>
      </c>
      <c r="X46" s="39"/>
      <c r="Y46" s="39"/>
      <c r="Z46" s="39"/>
      <c r="AA46" s="39"/>
      <c r="AB46" s="39"/>
      <c r="AC46" s="39"/>
      <c r="AD46" s="39"/>
      <c r="AF46" s="39"/>
      <c r="AI46" s="39"/>
    </row>
    <row r="47" spans="1:37" ht="15" x14ac:dyDescent="0.25">
      <c r="A47" s="39"/>
      <c r="B47" s="3">
        <v>2030</v>
      </c>
      <c r="C47" s="102">
        <f>Y47*(Inputs_Summary!$E73/$Y53)</f>
        <v>0</v>
      </c>
      <c r="D47" s="102">
        <f>Z47*(Inputs_Summary!$E73/$Y53)</f>
        <v>0</v>
      </c>
      <c r="E47" s="102">
        <f>AA47*(Inputs_Summary!$E73/$Y53)</f>
        <v>12092.929699343265</v>
      </c>
      <c r="F47" s="102">
        <f>AB47*(Inputs_Summary!$E73/$Y53)</f>
        <v>4874.5032922707042</v>
      </c>
      <c r="G47" s="102">
        <f>AC47*(Inputs_Summary!$E73/$Y53)</f>
        <v>0</v>
      </c>
      <c r="H47" s="102">
        <f>AD47*(Inputs_Summary!$E73/$Y53)</f>
        <v>108495.69265512341</v>
      </c>
      <c r="I47" s="102">
        <f>AE47*(Inputs_Summary!$E73/$Y53)</f>
        <v>0</v>
      </c>
      <c r="J47" s="102">
        <f>AF47*(Inputs_Summary!$E73/$Y53)</f>
        <v>38760.410045946643</v>
      </c>
      <c r="K47" s="102">
        <f>AG47*(Inputs_Summary!$E73/$Y53)</f>
        <v>0</v>
      </c>
      <c r="L47" s="102">
        <f>AH47*(Inputs_Summary!$E73/$Y53)</f>
        <v>0</v>
      </c>
      <c r="M47" s="102">
        <v>0</v>
      </c>
      <c r="N47" s="102">
        <f>AJ47*(Inputs_Summary!$E73/$Y53)</f>
        <v>835.36685423094923</v>
      </c>
      <c r="O47" s="102">
        <f>AK47*(Inputs_Summary!$E73/$Y53)</f>
        <v>6.2523590044336945</v>
      </c>
      <c r="P47" s="56"/>
      <c r="Q47" s="39">
        <f>G47+N47</f>
        <v>835.36685423094923</v>
      </c>
      <c r="R47" s="5">
        <f>SUM(K47:L47)</f>
        <v>0</v>
      </c>
      <c r="T47" s="5">
        <f t="shared" ref="T47:T49" si="15">SUM(C47:O47)</f>
        <v>165065.15490591939</v>
      </c>
      <c r="Y47" s="39">
        <v>0</v>
      </c>
      <c r="Z47" s="39">
        <v>0</v>
      </c>
      <c r="AA47" s="39">
        <v>11856</v>
      </c>
      <c r="AB47" s="39">
        <v>4779</v>
      </c>
      <c r="AC47" s="39">
        <v>0</v>
      </c>
      <c r="AD47" s="39">
        <v>106370</v>
      </c>
      <c r="AE47" s="3">
        <v>0</v>
      </c>
      <c r="AF47" s="39">
        <v>38001</v>
      </c>
      <c r="AG47" s="3">
        <v>0</v>
      </c>
      <c r="AH47" s="3">
        <v>0</v>
      </c>
      <c r="AI47" s="39">
        <v>3028</v>
      </c>
      <c r="AJ47" s="3">
        <v>819</v>
      </c>
      <c r="AK47" s="39">
        <v>6.1298601909999997</v>
      </c>
    </row>
    <row r="48" spans="1:37" ht="15" x14ac:dyDescent="0.25">
      <c r="A48" s="39"/>
      <c r="B48" s="3">
        <v>2040</v>
      </c>
      <c r="C48" s="102">
        <f>Y48*(Inputs_Summary!$E74/$Y54)</f>
        <v>0</v>
      </c>
      <c r="D48" s="102">
        <f>Z48*(Inputs_Summary!$E74/$Y54)</f>
        <v>0</v>
      </c>
      <c r="E48" s="102">
        <f>AA48*(Inputs_Summary!$E74/$Y54)</f>
        <v>39022.204506865994</v>
      </c>
      <c r="F48" s="102">
        <f>AB48*(Inputs_Summary!$E74/$Y54)</f>
        <v>10065.613808897184</v>
      </c>
      <c r="G48" s="102">
        <f>AC48*(Inputs_Summary!$E74/$Y54)</f>
        <v>0</v>
      </c>
      <c r="H48" s="102">
        <f>AD48*(Inputs_Summary!$E74/$Y54)</f>
        <v>202739.31770467648</v>
      </c>
      <c r="I48" s="102">
        <f>AE48*(Inputs_Summary!$E74/$Y54)</f>
        <v>0</v>
      </c>
      <c r="J48" s="102">
        <f>AF48*(Inputs_Summary!$E74/$Y54)</f>
        <v>88652.318687819687</v>
      </c>
      <c r="K48" s="102">
        <f>AG48*(Inputs_Summary!$E74/$Y54)</f>
        <v>1617.8493311516875</v>
      </c>
      <c r="L48" s="102">
        <f>AH48*(Inputs_Summary!$E74/$Y54)</f>
        <v>0</v>
      </c>
      <c r="M48" s="102">
        <v>0</v>
      </c>
      <c r="N48" s="102">
        <f>AJ48*(Inputs_Summary!$E74/$Y54)</f>
        <v>862.65212629379243</v>
      </c>
      <c r="O48" s="102">
        <f>AK48*(Inputs_Summary!$E74/$Y54)</f>
        <v>6.3061434011650785</v>
      </c>
      <c r="P48" s="56"/>
      <c r="Q48" s="39">
        <f>G48+N48</f>
        <v>862.65212629379243</v>
      </c>
      <c r="R48" s="5">
        <f>SUM(K48:L48)</f>
        <v>1617.8493311516875</v>
      </c>
      <c r="T48" s="5">
        <f t="shared" si="15"/>
        <v>342966.26230910601</v>
      </c>
      <c r="Y48" s="39">
        <v>0</v>
      </c>
      <c r="Z48" s="39">
        <v>0</v>
      </c>
      <c r="AA48" s="39">
        <v>38857</v>
      </c>
      <c r="AB48" s="39">
        <v>10023</v>
      </c>
      <c r="AC48" s="3">
        <v>0</v>
      </c>
      <c r="AD48" s="39">
        <v>201881</v>
      </c>
      <c r="AE48" s="3">
        <v>0</v>
      </c>
      <c r="AF48" s="39">
        <v>88277</v>
      </c>
      <c r="AG48" s="39">
        <v>1611</v>
      </c>
      <c r="AH48" s="3">
        <v>0</v>
      </c>
      <c r="AI48" s="39">
        <v>12701</v>
      </c>
      <c r="AJ48" s="3">
        <v>859</v>
      </c>
      <c r="AK48" s="39">
        <v>6.2794456959999998</v>
      </c>
    </row>
    <row r="49" spans="1:37" ht="15" x14ac:dyDescent="0.25">
      <c r="A49" s="39"/>
      <c r="B49" s="3">
        <v>2050</v>
      </c>
      <c r="C49" s="102">
        <f>Y49*(Inputs_Summary!$E75/$Y55)</f>
        <v>0</v>
      </c>
      <c r="D49" s="102">
        <f>Z49*(Inputs_Summary!$E75/$Y55)</f>
        <v>0</v>
      </c>
      <c r="E49" s="102">
        <f>AA49*(Inputs_Summary!$E75/$Y55)</f>
        <v>27207.914556058753</v>
      </c>
      <c r="F49" s="102">
        <f>AB49*(Inputs_Summary!$E75/$Y55)</f>
        <v>3797.8731718735512</v>
      </c>
      <c r="G49" s="102">
        <f>AC49*(Inputs_Summary!$E75/$Y55)</f>
        <v>15600.588350702448</v>
      </c>
      <c r="H49" s="102">
        <f>AD49*(Inputs_Summary!$E75/$Y55)</f>
        <v>250637.24102377731</v>
      </c>
      <c r="I49" s="102">
        <f>AE49*(Inputs_Summary!$E75/$Y55)</f>
        <v>69874.96398723303</v>
      </c>
      <c r="J49" s="102">
        <f>AF49*(Inputs_Summary!$E75/$Y55)</f>
        <v>112577.63120002991</v>
      </c>
      <c r="K49" s="102">
        <f>AG49*(Inputs_Summary!$E75/$Y55)</f>
        <v>13877.705371071708</v>
      </c>
      <c r="L49" s="102">
        <f>AH49*(Inputs_Summary!$E75/$Y55)</f>
        <v>16731.198504494387</v>
      </c>
      <c r="M49" s="102">
        <v>0</v>
      </c>
      <c r="N49" s="102">
        <f>AJ49*(Inputs_Summary!$E75/$Y55)</f>
        <v>2873.8461514927408</v>
      </c>
      <c r="O49" s="102">
        <f>AK49*(Inputs_Summary!$E75/$Y55)</f>
        <v>4.4265720098943335</v>
      </c>
      <c r="P49" s="56"/>
      <c r="Q49" s="39">
        <f>G49+N49</f>
        <v>18474.434502195189</v>
      </c>
      <c r="R49" s="5">
        <f>SUM(K49:L49)</f>
        <v>30608.903875566095</v>
      </c>
      <c r="T49" s="5">
        <f t="shared" si="15"/>
        <v>513183.38888874371</v>
      </c>
      <c r="Y49" s="39">
        <v>0</v>
      </c>
      <c r="Z49" s="39">
        <v>0</v>
      </c>
      <c r="AA49" s="39">
        <v>26736</v>
      </c>
      <c r="AB49" s="39">
        <v>3732</v>
      </c>
      <c r="AC49" s="39">
        <v>15330</v>
      </c>
      <c r="AD49" s="39">
        <v>246290</v>
      </c>
      <c r="AE49" s="39">
        <v>68663</v>
      </c>
      <c r="AF49" s="39">
        <v>110625</v>
      </c>
      <c r="AG49" s="39">
        <v>13637</v>
      </c>
      <c r="AH49" s="39">
        <v>16441</v>
      </c>
      <c r="AI49" s="39">
        <v>11690</v>
      </c>
      <c r="AJ49" s="39">
        <v>2824</v>
      </c>
      <c r="AK49" s="39">
        <v>4.3497942119999999</v>
      </c>
    </row>
    <row r="50" spans="1:37" ht="15" x14ac:dyDescent="0.25">
      <c r="A50" s="39"/>
    </row>
    <row r="51" spans="1:37" ht="30" x14ac:dyDescent="0.25">
      <c r="A51" s="39"/>
      <c r="B51" s="43" t="s">
        <v>13</v>
      </c>
      <c r="C51" s="43" t="s">
        <v>0</v>
      </c>
      <c r="D51" s="43" t="s">
        <v>1</v>
      </c>
      <c r="E51" s="43" t="s">
        <v>28</v>
      </c>
      <c r="F51" s="2" t="s">
        <v>29</v>
      </c>
      <c r="G51" s="2" t="s">
        <v>6</v>
      </c>
      <c r="H51" s="43" t="s">
        <v>2</v>
      </c>
      <c r="I51" s="43" t="s">
        <v>3</v>
      </c>
      <c r="J51" s="43" t="s">
        <v>4</v>
      </c>
      <c r="K51" s="43" t="s">
        <v>9</v>
      </c>
      <c r="L51" s="43" t="s">
        <v>8</v>
      </c>
      <c r="M51" s="43" t="s">
        <v>25</v>
      </c>
      <c r="N51" s="43" t="s">
        <v>7</v>
      </c>
      <c r="O51" s="43" t="s">
        <v>89</v>
      </c>
      <c r="P51" s="25"/>
      <c r="Q51" s="43" t="s">
        <v>5</v>
      </c>
      <c r="R51" s="43" t="s">
        <v>91</v>
      </c>
      <c r="T51" s="43" t="s">
        <v>10</v>
      </c>
      <c r="U51" s="43"/>
      <c r="V51" s="43"/>
      <c r="W51" s="43" t="s">
        <v>16</v>
      </c>
      <c r="X51" s="43" t="s">
        <v>15</v>
      </c>
    </row>
    <row r="52" spans="1:37" ht="15" x14ac:dyDescent="0.25">
      <c r="A52" s="39">
        <f>C52-C46</f>
        <v>194808.80434990322</v>
      </c>
      <c r="B52" s="3">
        <v>2016</v>
      </c>
      <c r="C52" s="50">
        <f>C34+C40+C46</f>
        <v>194808.80434990322</v>
      </c>
      <c r="D52" s="50">
        <f t="shared" ref="D52:O55" si="16">D34+D40+D46</f>
        <v>14743.87884401034</v>
      </c>
      <c r="E52" s="50">
        <f t="shared" si="16"/>
        <v>756.07675598824017</v>
      </c>
      <c r="F52" s="50">
        <f t="shared" si="16"/>
        <v>2024.3136712665919</v>
      </c>
      <c r="G52" s="50">
        <f t="shared" si="16"/>
        <v>15799.124268819065</v>
      </c>
      <c r="H52" s="50">
        <f t="shared" si="16"/>
        <v>4022.2162852660199</v>
      </c>
      <c r="I52" s="50">
        <f t="shared" si="16"/>
        <v>827.66992563012559</v>
      </c>
      <c r="J52" s="50">
        <f t="shared" si="16"/>
        <v>2639.0862346009021</v>
      </c>
      <c r="K52" s="50">
        <f t="shared" si="16"/>
        <v>0</v>
      </c>
      <c r="L52" s="50">
        <f t="shared" si="16"/>
        <v>1583.7347303540462</v>
      </c>
      <c r="M52" s="50">
        <f t="shared" si="16"/>
        <v>0</v>
      </c>
      <c r="N52" s="50">
        <f t="shared" si="16"/>
        <v>2994.3929759978951</v>
      </c>
      <c r="O52" s="50">
        <f t="shared" si="16"/>
        <v>0</v>
      </c>
      <c r="P52" s="56"/>
      <c r="Q52" s="39">
        <f>G52+N52</f>
        <v>18793.517244816961</v>
      </c>
      <c r="R52" s="5">
        <f>SUM(K52:L52)</f>
        <v>1583.7347303540462</v>
      </c>
      <c r="T52" s="5">
        <f>SUM(C52:O52)</f>
        <v>240199.29804183645</v>
      </c>
      <c r="W52" s="18">
        <f>SUM(G52:L52)</f>
        <v>24871.831444670155</v>
      </c>
      <c r="X52" s="23">
        <f>W52/Inputs_Summary!I72</f>
        <v>0.10273922781756209</v>
      </c>
      <c r="Y52" s="39">
        <v>240333.53100000005</v>
      </c>
      <c r="Z52" s="39"/>
    </row>
    <row r="53" spans="1:37" ht="15" x14ac:dyDescent="0.25">
      <c r="A53" s="39">
        <f t="shared" ref="A53:A55" si="17">C53-C47</f>
        <v>126780.9449088453</v>
      </c>
      <c r="B53" s="3">
        <v>2030</v>
      </c>
      <c r="C53" s="50">
        <f t="shared" ref="C53:N55" si="18">C35+C41+C47</f>
        <v>126780.9449088453</v>
      </c>
      <c r="D53" s="50">
        <f t="shared" si="18"/>
        <v>14191.036682436137</v>
      </c>
      <c r="E53" s="50">
        <f t="shared" si="18"/>
        <v>14316.494708163131</v>
      </c>
      <c r="F53" s="50">
        <f t="shared" si="18"/>
        <v>5023.4209488246952</v>
      </c>
      <c r="G53" s="50">
        <f t="shared" si="18"/>
        <v>11812.434113368283</v>
      </c>
      <c r="H53" s="50">
        <f t="shared" si="18"/>
        <v>121660.62548486561</v>
      </c>
      <c r="I53" s="50">
        <f t="shared" si="18"/>
        <v>5053.0004833456933</v>
      </c>
      <c r="J53" s="50">
        <f t="shared" si="18"/>
        <v>43747.11157260734</v>
      </c>
      <c r="K53" s="50">
        <f t="shared" si="18"/>
        <v>353.93443030297851</v>
      </c>
      <c r="L53" s="50">
        <f t="shared" si="18"/>
        <v>2604.019021796842</v>
      </c>
      <c r="M53" s="50">
        <f t="shared" si="18"/>
        <v>0</v>
      </c>
      <c r="N53" s="50">
        <f t="shared" si="18"/>
        <v>6636.0155721935971</v>
      </c>
      <c r="O53" s="50">
        <f t="shared" si="16"/>
        <v>6.2523590044336945</v>
      </c>
      <c r="P53" s="56"/>
      <c r="Q53" s="39">
        <f>G53+N53</f>
        <v>18448.449685561878</v>
      </c>
      <c r="R53" s="5">
        <f>SUM(K53:L53)</f>
        <v>2957.9534520998204</v>
      </c>
      <c r="T53" s="5">
        <f t="shared" ref="T53:T55" si="19">SUM(C53:O53)</f>
        <v>352185.29028575408</v>
      </c>
      <c r="W53" s="18">
        <f>SUM(G53:L53)</f>
        <v>185231.12510628675</v>
      </c>
      <c r="X53" s="23">
        <f>W53/Inputs_Summary!I73</f>
        <v>0.53920240884669302</v>
      </c>
      <c r="Y53" s="39">
        <v>336797.45679999999</v>
      </c>
      <c r="AA53" s="39"/>
    </row>
    <row r="54" spans="1:37" ht="15" x14ac:dyDescent="0.25">
      <c r="A54" s="39">
        <f t="shared" si="17"/>
        <v>50074.997640730347</v>
      </c>
      <c r="B54" s="3">
        <v>2040</v>
      </c>
      <c r="C54" s="50">
        <f t="shared" si="18"/>
        <v>50074.997640730347</v>
      </c>
      <c r="D54" s="50">
        <f t="shared" si="18"/>
        <v>13436.886437498186</v>
      </c>
      <c r="E54" s="50">
        <f t="shared" si="18"/>
        <v>41291.813127848494</v>
      </c>
      <c r="F54" s="50">
        <f t="shared" si="18"/>
        <v>10147.962440277965</v>
      </c>
      <c r="G54" s="50">
        <f t="shared" si="18"/>
        <v>11239.583931874418</v>
      </c>
      <c r="H54" s="50">
        <f t="shared" si="18"/>
        <v>202739.31770467648</v>
      </c>
      <c r="I54" s="50">
        <f t="shared" si="18"/>
        <v>5077.4961007466991</v>
      </c>
      <c r="J54" s="50">
        <f t="shared" si="18"/>
        <v>91805.668718742279</v>
      </c>
      <c r="K54" s="50">
        <f t="shared" si="18"/>
        <v>1977.3714047409512</v>
      </c>
      <c r="L54" s="50">
        <f t="shared" si="18"/>
        <v>2677.3347714775909</v>
      </c>
      <c r="M54" s="50">
        <f t="shared" si="18"/>
        <v>0</v>
      </c>
      <c r="N54" s="50">
        <f t="shared" si="18"/>
        <v>6712.4177091358642</v>
      </c>
      <c r="O54" s="50">
        <f t="shared" si="16"/>
        <v>6.3061434011650785</v>
      </c>
      <c r="P54" s="56"/>
      <c r="Q54" s="39">
        <f>G54+N54</f>
        <v>17952.001641010283</v>
      </c>
      <c r="R54" s="5">
        <f>SUM(K54:L54)</f>
        <v>4654.7061762185422</v>
      </c>
      <c r="T54" s="5">
        <f t="shared" si="19"/>
        <v>437187.15613115043</v>
      </c>
      <c r="W54" s="18">
        <f>SUM(G54:L54)</f>
        <v>315516.77263225848</v>
      </c>
      <c r="X54" s="23">
        <f>W54/Inputs_Summary!I74</f>
        <v>0.73644711197896151</v>
      </c>
      <c r="Y54" s="39">
        <v>426617.19339999999</v>
      </c>
      <c r="AB54" s="39"/>
      <c r="AD54" s="39"/>
    </row>
    <row r="55" spans="1:37" ht="15" x14ac:dyDescent="0.25">
      <c r="A55" s="39">
        <f t="shared" si="17"/>
        <v>0</v>
      </c>
      <c r="B55" s="3">
        <v>2050</v>
      </c>
      <c r="C55" s="50">
        <f t="shared" si="18"/>
        <v>0</v>
      </c>
      <c r="D55" s="50">
        <f t="shared" si="18"/>
        <v>0</v>
      </c>
      <c r="E55" s="50">
        <f t="shared" si="18"/>
        <v>29437.587685634033</v>
      </c>
      <c r="F55" s="50">
        <f t="shared" si="18"/>
        <v>3797.8731718735512</v>
      </c>
      <c r="G55" s="50">
        <f t="shared" si="18"/>
        <v>25447.378492998396</v>
      </c>
      <c r="H55" s="50">
        <f t="shared" si="18"/>
        <v>250637.24102377731</v>
      </c>
      <c r="I55" s="50">
        <f t="shared" si="18"/>
        <v>69874.96398723303</v>
      </c>
      <c r="J55" s="50">
        <f t="shared" si="18"/>
        <v>112577.63120002991</v>
      </c>
      <c r="K55" s="50">
        <f t="shared" si="18"/>
        <v>13877.705371071708</v>
      </c>
      <c r="L55" s="50">
        <f t="shared" si="18"/>
        <v>18319.75156486272</v>
      </c>
      <c r="M55" s="50">
        <f t="shared" si="18"/>
        <v>0</v>
      </c>
      <c r="N55" s="50">
        <f t="shared" si="18"/>
        <v>8096.4305882706249</v>
      </c>
      <c r="O55" s="50">
        <f t="shared" si="16"/>
        <v>4.4265720098943335</v>
      </c>
      <c r="P55" s="56"/>
      <c r="Q55" s="39">
        <f>G55+N55</f>
        <v>33543.809081269021</v>
      </c>
      <c r="R55" s="5">
        <f>SUM(K55:L55)</f>
        <v>32197.456935934428</v>
      </c>
      <c r="T55" s="5">
        <f t="shared" si="19"/>
        <v>532070.9896577613</v>
      </c>
      <c r="W55" s="18">
        <f>SUM(G55:L55)</f>
        <v>490734.67163997306</v>
      </c>
      <c r="X55" s="23">
        <f>W55/Inputs_Summary!I75</f>
        <v>0.94089963290820988</v>
      </c>
      <c r="Y55" s="39">
        <v>512512.68800000002</v>
      </c>
    </row>
    <row r="57" spans="1:37" ht="15" x14ac:dyDescent="0.25">
      <c r="B57" s="3">
        <v>2016</v>
      </c>
      <c r="C57" s="23">
        <f t="shared" ref="C57:O60" si="20">IFERROR(C52/$T52,0)</f>
        <v>0.81102986535777721</v>
      </c>
      <c r="D57" s="23">
        <f t="shared" si="20"/>
        <v>6.1381856500855973E-2</v>
      </c>
      <c r="E57" s="23">
        <f t="shared" si="20"/>
        <v>3.1477059348297984E-3</v>
      </c>
      <c r="F57" s="23">
        <f t="shared" si="20"/>
        <v>8.4276419114014609E-3</v>
      </c>
      <c r="G57" s="23">
        <f t="shared" si="20"/>
        <v>6.5775064280442941E-2</v>
      </c>
      <c r="H57" s="23">
        <f t="shared" si="20"/>
        <v>1.6745329058228366E-2</v>
      </c>
      <c r="I57" s="23">
        <f t="shared" si="20"/>
        <v>3.445763298966707E-3</v>
      </c>
      <c r="J57" s="23">
        <f t="shared" si="20"/>
        <v>1.0987068888691099E-2</v>
      </c>
      <c r="K57" s="23">
        <f t="shared" si="20"/>
        <v>0</v>
      </c>
      <c r="L57" s="23">
        <f t="shared" si="20"/>
        <v>6.5934194781793283E-3</v>
      </c>
      <c r="M57" s="23">
        <f t="shared" si="20"/>
        <v>0</v>
      </c>
      <c r="N57" s="23">
        <f t="shared" si="20"/>
        <v>1.2466285290627077E-2</v>
      </c>
      <c r="O57" s="23">
        <f t="shared" si="20"/>
        <v>0</v>
      </c>
      <c r="P57" s="26"/>
      <c r="Q57" s="7">
        <f t="shared" ref="Q57:R60" si="21">Q52/$T52</f>
        <v>7.8241349571070026E-2</v>
      </c>
      <c r="R57" s="7">
        <f t="shared" si="21"/>
        <v>6.5934194781793283E-3</v>
      </c>
      <c r="T57" s="8">
        <f>SUM(C57:O57)</f>
        <v>0.99999999999999989</v>
      </c>
    </row>
    <row r="58" spans="1:37" ht="15" x14ac:dyDescent="0.25">
      <c r="B58" s="3">
        <v>2030</v>
      </c>
      <c r="C58" s="23">
        <f t="shared" si="20"/>
        <v>0.3599836461255338</v>
      </c>
      <c r="D58" s="23">
        <f t="shared" si="20"/>
        <v>4.0294234523315542E-2</v>
      </c>
      <c r="E58" s="23">
        <f t="shared" si="20"/>
        <v>4.0650461853608641E-2</v>
      </c>
      <c r="F58" s="23">
        <f t="shared" si="20"/>
        <v>1.4263573997508019E-2</v>
      </c>
      <c r="G58" s="23">
        <f t="shared" si="20"/>
        <v>3.3540396033531039E-2</v>
      </c>
      <c r="H58" s="23">
        <f t="shared" si="20"/>
        <v>0.34544493719812464</v>
      </c>
      <c r="I58" s="23">
        <f t="shared" si="20"/>
        <v>1.4347562555056797E-2</v>
      </c>
      <c r="J58" s="23">
        <f t="shared" si="20"/>
        <v>0.12421618045748606</v>
      </c>
      <c r="K58" s="23">
        <f t="shared" si="20"/>
        <v>1.0049665334284836E-3</v>
      </c>
      <c r="L58" s="23">
        <f t="shared" si="20"/>
        <v>7.3938892214493344E-3</v>
      </c>
      <c r="M58" s="23">
        <f t="shared" si="20"/>
        <v>0</v>
      </c>
      <c r="N58" s="23">
        <f t="shared" si="20"/>
        <v>1.8842398462494855E-2</v>
      </c>
      <c r="O58" s="23">
        <f t="shared" si="20"/>
        <v>1.7753038462681652E-5</v>
      </c>
      <c r="P58" s="26"/>
      <c r="Q58" s="7">
        <f t="shared" si="21"/>
        <v>5.238279449602589E-2</v>
      </c>
      <c r="R58" s="7">
        <f t="shared" si="21"/>
        <v>8.3988557548778184E-3</v>
      </c>
      <c r="T58" s="8">
        <f t="shared" ref="T58:T60" si="22">SUM(C58:O58)</f>
        <v>0.99999999999999978</v>
      </c>
    </row>
    <row r="59" spans="1:37" ht="15" x14ac:dyDescent="0.25">
      <c r="B59" s="3">
        <v>2040</v>
      </c>
      <c r="C59" s="23">
        <f t="shared" si="20"/>
        <v>0.11453904109138216</v>
      </c>
      <c r="D59" s="23">
        <f t="shared" si="20"/>
        <v>3.073486091496086E-2</v>
      </c>
      <c r="E59" s="23">
        <f t="shared" si="20"/>
        <v>9.4448824831124475E-2</v>
      </c>
      <c r="F59" s="23">
        <f t="shared" si="20"/>
        <v>2.3211940922696524E-2</v>
      </c>
      <c r="G59" s="23">
        <f t="shared" si="20"/>
        <v>2.5708861237686245E-2</v>
      </c>
      <c r="H59" s="23">
        <f t="shared" si="20"/>
        <v>0.46373575907124165</v>
      </c>
      <c r="I59" s="23">
        <f t="shared" si="20"/>
        <v>1.1614010223172056E-2</v>
      </c>
      <c r="J59" s="23">
        <f t="shared" si="20"/>
        <v>0.20999168761307749</v>
      </c>
      <c r="K59" s="23">
        <f t="shared" si="20"/>
        <v>4.5229402945857946E-3</v>
      </c>
      <c r="L59" s="23">
        <f t="shared" si="20"/>
        <v>6.1240014349241891E-3</v>
      </c>
      <c r="M59" s="23">
        <f t="shared" si="20"/>
        <v>0</v>
      </c>
      <c r="N59" s="23">
        <f t="shared" si="20"/>
        <v>1.5353648008639637E-2</v>
      </c>
      <c r="O59" s="23">
        <f t="shared" si="20"/>
        <v>1.442435650893943E-5</v>
      </c>
      <c r="P59" s="26"/>
      <c r="Q59" s="7">
        <f t="shared" si="21"/>
        <v>4.1062509246325887E-2</v>
      </c>
      <c r="R59" s="7">
        <f t="shared" si="21"/>
        <v>1.0646941729509984E-2</v>
      </c>
      <c r="T59" s="8">
        <f t="shared" si="22"/>
        <v>0.99999999999999989</v>
      </c>
    </row>
    <row r="60" spans="1:37" ht="15" x14ac:dyDescent="0.25">
      <c r="B60" s="3">
        <v>2050</v>
      </c>
      <c r="C60" s="23">
        <f t="shared" si="20"/>
        <v>0</v>
      </c>
      <c r="D60" s="23">
        <f t="shared" si="20"/>
        <v>0</v>
      </c>
      <c r="E60" s="23">
        <f t="shared" si="20"/>
        <v>5.5326428724424309E-2</v>
      </c>
      <c r="F60" s="23">
        <f t="shared" si="20"/>
        <v>7.1379068689996035E-3</v>
      </c>
      <c r="G60" s="23">
        <f t="shared" si="20"/>
        <v>4.7827036218168292E-2</v>
      </c>
      <c r="H60" s="23">
        <f t="shared" si="20"/>
        <v>0.47105977566074819</v>
      </c>
      <c r="I60" s="23">
        <f t="shared" si="20"/>
        <v>0.13132639317956049</v>
      </c>
      <c r="J60" s="23">
        <f t="shared" si="20"/>
        <v>0.21158385514016106</v>
      </c>
      <c r="K60" s="23">
        <f t="shared" si="20"/>
        <v>2.6082431932622611E-2</v>
      </c>
      <c r="L60" s="23">
        <f t="shared" si="20"/>
        <v>3.4431028793068287E-2</v>
      </c>
      <c r="M60" s="23">
        <f t="shared" si="20"/>
        <v>0</v>
      </c>
      <c r="N60" s="23">
        <f t="shared" si="20"/>
        <v>1.5216823968317481E-2</v>
      </c>
      <c r="O60" s="23">
        <f t="shared" si="20"/>
        <v>8.3195139294130537E-6</v>
      </c>
      <c r="P60" s="26"/>
      <c r="Q60" s="7">
        <f t="shared" si="21"/>
        <v>6.3043860186485778E-2</v>
      </c>
      <c r="R60" s="7">
        <f t="shared" si="21"/>
        <v>6.0513460725690901E-2</v>
      </c>
      <c r="T60" s="8">
        <f t="shared" si="22"/>
        <v>0.99999999999999978</v>
      </c>
    </row>
    <row r="62" spans="1:37" s="9" customFormat="1" ht="21" x14ac:dyDescent="0.35">
      <c r="B62" s="10" t="s">
        <v>12</v>
      </c>
    </row>
    <row r="63" spans="1:37" s="32" customFormat="1" ht="21" x14ac:dyDescent="0.35">
      <c r="B63" s="31"/>
      <c r="P63" s="58"/>
    </row>
    <row r="64" spans="1:37" ht="30" x14ac:dyDescent="0.25">
      <c r="B64" s="43" t="s">
        <v>37</v>
      </c>
      <c r="C64" s="43" t="s">
        <v>0</v>
      </c>
      <c r="D64" s="43" t="s">
        <v>1</v>
      </c>
      <c r="E64" s="43" t="s">
        <v>28</v>
      </c>
      <c r="F64" s="2" t="s">
        <v>29</v>
      </c>
      <c r="G64" s="2" t="s">
        <v>6</v>
      </c>
      <c r="H64" s="43" t="s">
        <v>2</v>
      </c>
      <c r="I64" s="43" t="s">
        <v>3</v>
      </c>
      <c r="J64" s="43" t="s">
        <v>4</v>
      </c>
      <c r="K64" s="43" t="s">
        <v>9</v>
      </c>
      <c r="L64" s="43" t="s">
        <v>8</v>
      </c>
      <c r="M64" s="43" t="s">
        <v>25</v>
      </c>
      <c r="N64" s="43" t="s">
        <v>7</v>
      </c>
      <c r="O64" s="43" t="s">
        <v>89</v>
      </c>
      <c r="P64" s="25"/>
      <c r="Q64" s="43" t="s">
        <v>5</v>
      </c>
      <c r="R64" s="43" t="s">
        <v>91</v>
      </c>
      <c r="T64" s="43"/>
    </row>
    <row r="65" spans="2:20" ht="15" x14ac:dyDescent="0.25">
      <c r="B65" s="3">
        <v>2016</v>
      </c>
      <c r="C65" s="23">
        <f t="shared" ref="C65:O65" si="23">IFERROR(C34/(8.76*C4),0)</f>
        <v>0.61670682155154666</v>
      </c>
      <c r="D65" s="23">
        <f t="shared" si="23"/>
        <v>0.90488773776270071</v>
      </c>
      <c r="E65" s="23">
        <f t="shared" si="23"/>
        <v>0.20327398012747969</v>
      </c>
      <c r="F65" s="23">
        <f t="shared" si="23"/>
        <v>6.7588779038524713E-2</v>
      </c>
      <c r="G65" s="23">
        <f t="shared" si="23"/>
        <v>0.82769756710584552</v>
      </c>
      <c r="H65" s="23">
        <f t="shared" si="23"/>
        <v>0.35157512265710944</v>
      </c>
      <c r="I65" s="23">
        <f t="shared" si="23"/>
        <v>0.47241434111308539</v>
      </c>
      <c r="J65" s="23">
        <f t="shared" si="23"/>
        <v>0.20369543738680201</v>
      </c>
      <c r="K65" s="23">
        <f t="shared" si="23"/>
        <v>0</v>
      </c>
      <c r="L65" s="23">
        <f t="shared" si="23"/>
        <v>0.68481680259532229</v>
      </c>
      <c r="M65" s="23">
        <f t="shared" si="23"/>
        <v>0</v>
      </c>
      <c r="N65" s="23">
        <f t="shared" si="23"/>
        <v>0.21634536847565858</v>
      </c>
      <c r="O65" s="23">
        <f t="shared" si="23"/>
        <v>0</v>
      </c>
      <c r="P65" s="26"/>
      <c r="Q65" s="6">
        <f t="shared" ref="Q65:R68" si="24">IFERROR(Q34/(8.76*Q4),0)</f>
        <v>0.57073122663346065</v>
      </c>
      <c r="R65" s="6">
        <f t="shared" si="24"/>
        <v>0.68481680259532229</v>
      </c>
      <c r="S65" s="5"/>
      <c r="T65" s="5"/>
    </row>
    <row r="66" spans="2:20" ht="15" x14ac:dyDescent="0.25">
      <c r="B66" s="3">
        <v>2030</v>
      </c>
      <c r="C66" s="23">
        <f t="shared" ref="C66:O66" si="25">IFERROR(C35/(8.76*C5),0)</f>
        <v>0.5910604965454983</v>
      </c>
      <c r="D66" s="23">
        <f t="shared" si="25"/>
        <v>0.87095771851746306</v>
      </c>
      <c r="E66" s="23">
        <f t="shared" si="25"/>
        <v>0.59781352334291127</v>
      </c>
      <c r="F66" s="23">
        <f t="shared" si="25"/>
        <v>5.5247749377095546E-3</v>
      </c>
      <c r="G66" s="23">
        <f t="shared" si="25"/>
        <v>0.60863332113246271</v>
      </c>
      <c r="H66" s="23">
        <f t="shared" si="25"/>
        <v>0.36598157001447013</v>
      </c>
      <c r="I66" s="23">
        <f t="shared" si="25"/>
        <v>0.47913629567748228</v>
      </c>
      <c r="J66" s="23">
        <f t="shared" si="25"/>
        <v>0.20248461079371791</v>
      </c>
      <c r="K66" s="23">
        <f t="shared" si="25"/>
        <v>0</v>
      </c>
      <c r="L66" s="23">
        <f t="shared" si="25"/>
        <v>0.68230038791290659</v>
      </c>
      <c r="M66" s="23">
        <f t="shared" si="25"/>
        <v>0</v>
      </c>
      <c r="N66" s="23">
        <f t="shared" si="25"/>
        <v>0.18740384821013542</v>
      </c>
      <c r="O66" s="23">
        <f t="shared" si="25"/>
        <v>0</v>
      </c>
      <c r="P66" s="26"/>
      <c r="Q66" s="6">
        <f t="shared" si="24"/>
        <v>0.43158023062507334</v>
      </c>
      <c r="R66" s="6">
        <f t="shared" si="24"/>
        <v>0.68230038791290659</v>
      </c>
      <c r="S66" s="5"/>
      <c r="T66" s="5"/>
    </row>
    <row r="67" spans="2:20" ht="15" x14ac:dyDescent="0.25">
      <c r="B67" s="3">
        <v>2040</v>
      </c>
      <c r="C67" s="23">
        <f t="shared" ref="C67:O67" si="26">IFERROR(C36/(8.76*C6),0)</f>
        <v>0.50104507467063242</v>
      </c>
      <c r="D67" s="23">
        <f t="shared" si="26"/>
        <v>0.82467265905006781</v>
      </c>
      <c r="E67" s="23">
        <f t="shared" si="26"/>
        <v>0.61019251559418364</v>
      </c>
      <c r="F67" s="23">
        <f t="shared" si="26"/>
        <v>9.3537598969514434E-3</v>
      </c>
      <c r="G67" s="23">
        <f t="shared" si="26"/>
        <v>0.57846412550686721</v>
      </c>
      <c r="H67" s="23">
        <f t="shared" si="26"/>
        <v>0</v>
      </c>
      <c r="I67" s="23">
        <f t="shared" si="26"/>
        <v>0.48321010311559243</v>
      </c>
      <c r="J67" s="23">
        <f t="shared" si="26"/>
        <v>0.20371765299537939</v>
      </c>
      <c r="K67" s="23">
        <f t="shared" si="26"/>
        <v>0</v>
      </c>
      <c r="L67" s="23">
        <f t="shared" si="26"/>
        <v>0.71476673292377979</v>
      </c>
      <c r="M67" s="23">
        <f t="shared" si="26"/>
        <v>0</v>
      </c>
      <c r="N67" s="23">
        <f t="shared" si="26"/>
        <v>0.1914788146796475</v>
      </c>
      <c r="O67" s="23">
        <f t="shared" si="26"/>
        <v>0</v>
      </c>
      <c r="P67" s="26"/>
      <c r="Q67" s="6">
        <f t="shared" si="24"/>
        <v>0.415804697173</v>
      </c>
      <c r="R67" s="6">
        <f t="shared" si="24"/>
        <v>0.71476673292377979</v>
      </c>
      <c r="S67" s="5"/>
      <c r="T67" s="5"/>
    </row>
    <row r="68" spans="2:20" ht="15" x14ac:dyDescent="0.25">
      <c r="B68" s="3">
        <v>2050</v>
      </c>
      <c r="C68" s="23">
        <f t="shared" ref="C68:O68" si="27">IFERROR(C37/(8.76*C7),0)</f>
        <v>0</v>
      </c>
      <c r="D68" s="23">
        <f t="shared" si="27"/>
        <v>0</v>
      </c>
      <c r="E68" s="23">
        <f t="shared" si="27"/>
        <v>0.5994557137782327</v>
      </c>
      <c r="F68" s="23">
        <f t="shared" si="27"/>
        <v>0</v>
      </c>
      <c r="G68" s="23">
        <f t="shared" si="27"/>
        <v>0.50573220040561317</v>
      </c>
      <c r="H68" s="23">
        <f t="shared" si="27"/>
        <v>0</v>
      </c>
      <c r="I68" s="23">
        <f t="shared" si="27"/>
        <v>0</v>
      </c>
      <c r="J68" s="23">
        <f t="shared" si="27"/>
        <v>0</v>
      </c>
      <c r="K68" s="23">
        <f t="shared" si="27"/>
        <v>0</v>
      </c>
      <c r="L68" s="23">
        <f t="shared" si="27"/>
        <v>0.68690027862889669</v>
      </c>
      <c r="M68" s="23">
        <f t="shared" si="27"/>
        <v>0</v>
      </c>
      <c r="N68" s="23">
        <f t="shared" si="27"/>
        <v>0.17146132499344099</v>
      </c>
      <c r="O68" s="23">
        <f t="shared" si="27"/>
        <v>0</v>
      </c>
      <c r="P68" s="26"/>
      <c r="Q68" s="6">
        <f t="shared" si="24"/>
        <v>0.36522994364816919</v>
      </c>
      <c r="R68" s="6">
        <f t="shared" si="24"/>
        <v>0.68690027862889669</v>
      </c>
      <c r="S68" s="5"/>
      <c r="T68" s="5"/>
    </row>
    <row r="69" spans="2:20" ht="15" x14ac:dyDescent="0.25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28"/>
      <c r="Q69" s="5"/>
      <c r="R69" s="5"/>
      <c r="S69" s="5"/>
      <c r="T69" s="5"/>
    </row>
    <row r="70" spans="2:20" ht="30" x14ac:dyDescent="0.25">
      <c r="B70" s="43" t="s">
        <v>38</v>
      </c>
      <c r="C70" s="43" t="s">
        <v>0</v>
      </c>
      <c r="D70" s="43" t="s">
        <v>1</v>
      </c>
      <c r="E70" s="43" t="s">
        <v>28</v>
      </c>
      <c r="F70" s="2" t="s">
        <v>29</v>
      </c>
      <c r="G70" s="2" t="s">
        <v>6</v>
      </c>
      <c r="H70" s="43" t="s">
        <v>2</v>
      </c>
      <c r="I70" s="43" t="s">
        <v>3</v>
      </c>
      <c r="J70" s="43" t="s">
        <v>4</v>
      </c>
      <c r="K70" s="43" t="s">
        <v>9</v>
      </c>
      <c r="L70" s="43" t="s">
        <v>8</v>
      </c>
      <c r="M70" s="43" t="s">
        <v>25</v>
      </c>
      <c r="N70" s="43" t="s">
        <v>7</v>
      </c>
      <c r="O70" s="43" t="s">
        <v>89</v>
      </c>
      <c r="P70" s="25"/>
      <c r="Q70" s="43" t="s">
        <v>5</v>
      </c>
      <c r="R70" s="43" t="s">
        <v>91</v>
      </c>
      <c r="T70" s="43"/>
    </row>
    <row r="71" spans="2:20" ht="15" x14ac:dyDescent="0.25">
      <c r="B71" s="3">
        <v>2016</v>
      </c>
      <c r="C71" s="23">
        <f t="shared" ref="C71:O71" si="28">IFERROR(C40/(8.76*C10),0)</f>
        <v>0</v>
      </c>
      <c r="D71" s="23">
        <f t="shared" si="28"/>
        <v>0</v>
      </c>
      <c r="E71" s="23">
        <f t="shared" si="28"/>
        <v>0</v>
      </c>
      <c r="F71" s="23">
        <f t="shared" si="28"/>
        <v>0</v>
      </c>
      <c r="G71" s="23">
        <f t="shared" si="28"/>
        <v>0</v>
      </c>
      <c r="H71" s="23">
        <f t="shared" si="28"/>
        <v>0</v>
      </c>
      <c r="I71" s="23">
        <f t="shared" si="28"/>
        <v>0</v>
      </c>
      <c r="J71" s="23">
        <f t="shared" si="28"/>
        <v>0</v>
      </c>
      <c r="K71" s="23">
        <f t="shared" si="28"/>
        <v>0</v>
      </c>
      <c r="L71" s="23">
        <f t="shared" si="28"/>
        <v>0</v>
      </c>
      <c r="M71" s="23">
        <f t="shared" si="28"/>
        <v>0</v>
      </c>
      <c r="N71" s="23">
        <f t="shared" si="28"/>
        <v>0</v>
      </c>
      <c r="O71" s="23">
        <f t="shared" si="28"/>
        <v>0</v>
      </c>
      <c r="P71" s="26"/>
      <c r="Q71" s="7">
        <f t="shared" ref="Q71:R74" si="29">IFERROR(Q40/(8.76*Q10),0)</f>
        <v>0</v>
      </c>
      <c r="R71" s="7">
        <f t="shared" si="29"/>
        <v>0</v>
      </c>
      <c r="S71" s="5"/>
      <c r="T71" s="5"/>
    </row>
    <row r="72" spans="2:20" ht="15" x14ac:dyDescent="0.25">
      <c r="B72" s="3">
        <v>2030</v>
      </c>
      <c r="C72" s="23">
        <f t="shared" ref="C72:O72" si="30">IFERROR(C41/(8.76*C11),0)</f>
        <v>0.75457497935656492</v>
      </c>
      <c r="D72" s="23">
        <f t="shared" si="30"/>
        <v>0</v>
      </c>
      <c r="E72" s="23">
        <f t="shared" si="30"/>
        <v>0</v>
      </c>
      <c r="F72" s="23">
        <f t="shared" si="30"/>
        <v>0</v>
      </c>
      <c r="G72" s="23">
        <f t="shared" si="30"/>
        <v>0.49420835682138048</v>
      </c>
      <c r="H72" s="23">
        <f t="shared" si="30"/>
        <v>0.3660265296435688</v>
      </c>
      <c r="I72" s="23">
        <f t="shared" si="30"/>
        <v>0.56588150595202047</v>
      </c>
      <c r="J72" s="23">
        <f t="shared" si="30"/>
        <v>0.20254010944444928</v>
      </c>
      <c r="K72" s="23">
        <f t="shared" si="30"/>
        <v>0.76232969394110994</v>
      </c>
      <c r="L72" s="23">
        <f t="shared" si="30"/>
        <v>0.76558916994503956</v>
      </c>
      <c r="M72" s="23">
        <f t="shared" si="30"/>
        <v>0</v>
      </c>
      <c r="N72" s="23">
        <f t="shared" si="30"/>
        <v>0.27483215541361611</v>
      </c>
      <c r="O72" s="23">
        <f t="shared" si="30"/>
        <v>0</v>
      </c>
      <c r="P72" s="26"/>
      <c r="Q72" s="7">
        <f t="shared" si="29"/>
        <v>0.28200131232236658</v>
      </c>
      <c r="R72" s="7">
        <f t="shared" si="29"/>
        <v>0.76475056689548493</v>
      </c>
      <c r="S72" s="5"/>
      <c r="T72" s="5"/>
    </row>
    <row r="73" spans="2:20" ht="15" x14ac:dyDescent="0.25">
      <c r="B73" s="3">
        <v>2040</v>
      </c>
      <c r="C73" s="23">
        <f t="shared" ref="C73:O73" si="31">IFERROR(C42/(8.76*C12),0)</f>
        <v>0.72957115137648987</v>
      </c>
      <c r="D73" s="23">
        <f t="shared" si="31"/>
        <v>0</v>
      </c>
      <c r="E73" s="23">
        <f t="shared" si="31"/>
        <v>0</v>
      </c>
      <c r="F73" s="23">
        <f t="shared" si="31"/>
        <v>0</v>
      </c>
      <c r="G73" s="23">
        <f t="shared" si="31"/>
        <v>0.50187104422708173</v>
      </c>
      <c r="H73" s="23">
        <f t="shared" si="31"/>
        <v>0</v>
      </c>
      <c r="I73" s="23">
        <f t="shared" si="31"/>
        <v>0.56821273167985242</v>
      </c>
      <c r="J73" s="23">
        <f t="shared" si="31"/>
        <v>0.20371943368183262</v>
      </c>
      <c r="K73" s="23">
        <f t="shared" si="31"/>
        <v>0.77436476606630456</v>
      </c>
      <c r="L73" s="23">
        <f t="shared" si="31"/>
        <v>0.76427062572652038</v>
      </c>
      <c r="M73" s="23">
        <f t="shared" si="31"/>
        <v>0</v>
      </c>
      <c r="N73" s="23">
        <f t="shared" si="31"/>
        <v>0.27420790693296099</v>
      </c>
      <c r="O73" s="23">
        <f t="shared" si="31"/>
        <v>0</v>
      </c>
      <c r="P73" s="26"/>
      <c r="Q73" s="7">
        <f t="shared" si="29"/>
        <v>0.28164787873995839</v>
      </c>
      <c r="R73" s="7">
        <f t="shared" si="29"/>
        <v>0.76686766183335808</v>
      </c>
      <c r="S73" s="5"/>
      <c r="T73" s="5"/>
    </row>
    <row r="74" spans="2:20" ht="15" x14ac:dyDescent="0.25">
      <c r="B74" s="3">
        <v>2050</v>
      </c>
      <c r="C74" s="23">
        <f t="shared" ref="C74:O74" si="32">IFERROR(C43/(8.76*C13),0)</f>
        <v>0</v>
      </c>
      <c r="D74" s="23">
        <f t="shared" si="32"/>
        <v>0</v>
      </c>
      <c r="E74" s="23">
        <f t="shared" si="32"/>
        <v>0</v>
      </c>
      <c r="F74" s="23">
        <f t="shared" si="32"/>
        <v>0</v>
      </c>
      <c r="G74" s="23">
        <f t="shared" si="32"/>
        <v>0.4904963766250332</v>
      </c>
      <c r="H74" s="23">
        <f t="shared" si="32"/>
        <v>0</v>
      </c>
      <c r="I74" s="23">
        <f t="shared" si="32"/>
        <v>0</v>
      </c>
      <c r="J74" s="23">
        <f t="shared" si="32"/>
        <v>0</v>
      </c>
      <c r="K74" s="23">
        <f t="shared" si="32"/>
        <v>0</v>
      </c>
      <c r="L74" s="23">
        <f t="shared" si="32"/>
        <v>0</v>
      </c>
      <c r="M74" s="23">
        <f t="shared" si="32"/>
        <v>0</v>
      </c>
      <c r="N74" s="23">
        <f t="shared" si="32"/>
        <v>0.24420160998401369</v>
      </c>
      <c r="O74" s="23">
        <f t="shared" si="32"/>
        <v>0</v>
      </c>
      <c r="P74" s="26"/>
      <c r="Q74" s="7">
        <f t="shared" si="29"/>
        <v>0.25225045856705353</v>
      </c>
      <c r="R74" s="7">
        <f t="shared" si="29"/>
        <v>0</v>
      </c>
      <c r="S74" s="5"/>
      <c r="T74" s="5"/>
    </row>
    <row r="75" spans="2:20" ht="15" x14ac:dyDescent="0.25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28"/>
      <c r="Q75" s="5"/>
      <c r="R75" s="5"/>
      <c r="S75" s="5"/>
      <c r="T75" s="5"/>
    </row>
    <row r="76" spans="2:20" ht="30" x14ac:dyDescent="0.25">
      <c r="B76" s="43" t="s">
        <v>43</v>
      </c>
      <c r="C76" s="43" t="s">
        <v>0</v>
      </c>
      <c r="D76" s="43" t="s">
        <v>1</v>
      </c>
      <c r="E76" s="43" t="s">
        <v>28</v>
      </c>
      <c r="F76" s="2" t="s">
        <v>29</v>
      </c>
      <c r="G76" s="2" t="s">
        <v>6</v>
      </c>
      <c r="H76" s="43" t="s">
        <v>2</v>
      </c>
      <c r="I76" s="43" t="s">
        <v>3</v>
      </c>
      <c r="J76" s="43" t="s">
        <v>4</v>
      </c>
      <c r="K76" s="43" t="s">
        <v>9</v>
      </c>
      <c r="L76" s="43" t="s">
        <v>8</v>
      </c>
      <c r="M76" s="43" t="s">
        <v>25</v>
      </c>
      <c r="N76" s="43" t="s">
        <v>7</v>
      </c>
      <c r="O76" s="43" t="s">
        <v>89</v>
      </c>
      <c r="P76" s="25"/>
      <c r="Q76" s="43" t="s">
        <v>5</v>
      </c>
      <c r="R76" s="43" t="s">
        <v>91</v>
      </c>
      <c r="T76" s="43"/>
    </row>
    <row r="77" spans="2:20" ht="15" x14ac:dyDescent="0.25">
      <c r="B77" s="3">
        <v>2016</v>
      </c>
      <c r="C77" s="23">
        <f t="shared" ref="C77:O77" si="33">IFERROR(C46/(8.76*C16),0)</f>
        <v>0</v>
      </c>
      <c r="D77" s="23">
        <f t="shared" si="33"/>
        <v>0</v>
      </c>
      <c r="E77" s="23">
        <f t="shared" si="33"/>
        <v>0</v>
      </c>
      <c r="F77" s="23">
        <f t="shared" si="33"/>
        <v>0</v>
      </c>
      <c r="G77" s="23">
        <f t="shared" si="33"/>
        <v>0</v>
      </c>
      <c r="H77" s="23">
        <f t="shared" si="33"/>
        <v>0</v>
      </c>
      <c r="I77" s="23">
        <f t="shared" si="33"/>
        <v>0</v>
      </c>
      <c r="J77" s="23">
        <f t="shared" si="33"/>
        <v>0</v>
      </c>
      <c r="K77" s="23">
        <f t="shared" si="33"/>
        <v>0</v>
      </c>
      <c r="L77" s="23">
        <f t="shared" si="33"/>
        <v>0</v>
      </c>
      <c r="M77" s="23">
        <f t="shared" si="33"/>
        <v>0</v>
      </c>
      <c r="N77" s="23">
        <f t="shared" si="33"/>
        <v>0</v>
      </c>
      <c r="O77" s="23">
        <f t="shared" si="33"/>
        <v>0</v>
      </c>
      <c r="P77" s="26"/>
      <c r="Q77" s="7">
        <f t="shared" ref="Q77:R80" si="34">IFERROR(Q46/(8.76*Q16),0)</f>
        <v>0</v>
      </c>
      <c r="R77" s="7">
        <f t="shared" si="34"/>
        <v>0</v>
      </c>
      <c r="S77" s="5"/>
      <c r="T77" s="5"/>
    </row>
    <row r="78" spans="2:20" ht="15" x14ac:dyDescent="0.25">
      <c r="B78" s="3">
        <v>2030</v>
      </c>
      <c r="C78" s="23">
        <f t="shared" ref="C78:O78" si="35">IFERROR(C47/(8.76*C17),0)</f>
        <v>0</v>
      </c>
      <c r="D78" s="23">
        <f t="shared" si="35"/>
        <v>0</v>
      </c>
      <c r="E78" s="23">
        <f t="shared" si="35"/>
        <v>0.26941284677315958</v>
      </c>
      <c r="F78" s="23">
        <f t="shared" si="35"/>
        <v>4.1328739417668361E-2</v>
      </c>
      <c r="G78" s="23">
        <f t="shared" si="35"/>
        <v>0</v>
      </c>
      <c r="H78" s="23">
        <f t="shared" si="35"/>
        <v>0.36320683410036092</v>
      </c>
      <c r="I78" s="23">
        <f t="shared" si="35"/>
        <v>0</v>
      </c>
      <c r="J78" s="23">
        <f t="shared" si="35"/>
        <v>0.19931100644795469</v>
      </c>
      <c r="K78" s="23">
        <f t="shared" si="35"/>
        <v>0</v>
      </c>
      <c r="L78" s="23">
        <f t="shared" si="35"/>
        <v>0</v>
      </c>
      <c r="M78" s="23">
        <f t="shared" si="35"/>
        <v>0</v>
      </c>
      <c r="N78" s="23">
        <f t="shared" si="35"/>
        <v>0.28637091003021831</v>
      </c>
      <c r="O78" s="23">
        <f t="shared" si="35"/>
        <v>0.11895660206304594</v>
      </c>
      <c r="P78" s="26"/>
      <c r="Q78" s="7">
        <f t="shared" si="34"/>
        <v>0.28637091003021831</v>
      </c>
      <c r="R78" s="7">
        <f t="shared" si="34"/>
        <v>0</v>
      </c>
      <c r="S78" s="5"/>
      <c r="T78" s="5"/>
    </row>
    <row r="79" spans="2:20" ht="15" x14ac:dyDescent="0.25">
      <c r="B79" s="3">
        <v>2040</v>
      </c>
      <c r="C79" s="23">
        <f t="shared" ref="C79:O79" si="36">IFERROR(C48/(8.76*C18),0)</f>
        <v>0</v>
      </c>
      <c r="D79" s="23">
        <f t="shared" si="36"/>
        <v>0</v>
      </c>
      <c r="E79" s="23">
        <f t="shared" si="36"/>
        <v>0.32028972933407462</v>
      </c>
      <c r="F79" s="23">
        <f t="shared" si="36"/>
        <v>4.030031819053511E-2</v>
      </c>
      <c r="G79" s="23">
        <f t="shared" si="36"/>
        <v>0</v>
      </c>
      <c r="H79" s="23">
        <f t="shared" si="36"/>
        <v>0.34750386980246767</v>
      </c>
      <c r="I79" s="23">
        <f t="shared" si="36"/>
        <v>0</v>
      </c>
      <c r="J79" s="23">
        <f t="shared" si="36"/>
        <v>0.17723516119245195</v>
      </c>
      <c r="K79" s="23">
        <f t="shared" si="36"/>
        <v>0.60552785805512677</v>
      </c>
      <c r="L79" s="23">
        <f t="shared" si="36"/>
        <v>0</v>
      </c>
      <c r="M79" s="23">
        <f t="shared" si="36"/>
        <v>0</v>
      </c>
      <c r="N79" s="23">
        <f t="shared" si="36"/>
        <v>0.29572453490949596</v>
      </c>
      <c r="O79" s="23">
        <f t="shared" si="36"/>
        <v>0.1199798972824406</v>
      </c>
      <c r="P79" s="26"/>
      <c r="Q79" s="7">
        <f t="shared" si="34"/>
        <v>0.29572453490949596</v>
      </c>
      <c r="R79" s="7">
        <f t="shared" si="34"/>
        <v>0.60552785805512677</v>
      </c>
      <c r="S79" s="5"/>
      <c r="T79" s="5"/>
    </row>
    <row r="80" spans="2:20" ht="15" x14ac:dyDescent="0.25">
      <c r="B80" s="3">
        <v>2050</v>
      </c>
      <c r="C80" s="23">
        <f t="shared" ref="C80:O80" si="37">IFERROR(C49/(8.76*C19),0)</f>
        <v>0</v>
      </c>
      <c r="D80" s="23">
        <f t="shared" si="37"/>
        <v>0</v>
      </c>
      <c r="E80" s="23">
        <f t="shared" si="37"/>
        <v>0.22331940747661699</v>
      </c>
      <c r="F80" s="23">
        <f t="shared" si="37"/>
        <v>1.5205778820811934E-2</v>
      </c>
      <c r="G80" s="23">
        <f t="shared" si="37"/>
        <v>0.7123556324521666</v>
      </c>
      <c r="H80" s="23">
        <f t="shared" si="37"/>
        <v>0.34555020766298461</v>
      </c>
      <c r="I80" s="23">
        <f t="shared" si="37"/>
        <v>0.59526821361712867</v>
      </c>
      <c r="J80" s="23">
        <f t="shared" si="37"/>
        <v>0.1526285957548752</v>
      </c>
      <c r="K80" s="23">
        <f t="shared" si="37"/>
        <v>0.27696030452852505</v>
      </c>
      <c r="L80" s="23">
        <f t="shared" si="37"/>
        <v>0.19743168980563622</v>
      </c>
      <c r="M80" s="23">
        <f t="shared" si="37"/>
        <v>0</v>
      </c>
      <c r="N80" s="23">
        <f t="shared" si="37"/>
        <v>0.24629476664101951</v>
      </c>
      <c r="O80" s="23">
        <f t="shared" si="37"/>
        <v>8.4219406580942416E-2</v>
      </c>
      <c r="P80" s="26"/>
      <c r="Q80" s="7">
        <f t="shared" si="34"/>
        <v>0.55035326469108936</v>
      </c>
      <c r="R80" s="7">
        <f t="shared" si="34"/>
        <v>0.22698240282466464</v>
      </c>
      <c r="S80" s="5"/>
      <c r="T80" s="5"/>
    </row>
    <row r="81" spans="1:58" ht="15" x14ac:dyDescent="0.25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28"/>
    </row>
    <row r="82" spans="1:58" ht="30" x14ac:dyDescent="0.25">
      <c r="B82" s="43" t="s">
        <v>52</v>
      </c>
      <c r="C82" s="43" t="s">
        <v>0</v>
      </c>
      <c r="D82" s="43" t="s">
        <v>1</v>
      </c>
      <c r="E82" s="43" t="s">
        <v>28</v>
      </c>
      <c r="F82" s="2" t="s">
        <v>29</v>
      </c>
      <c r="G82" s="2" t="s">
        <v>6</v>
      </c>
      <c r="H82" s="43" t="s">
        <v>2</v>
      </c>
      <c r="I82" s="43" t="s">
        <v>3</v>
      </c>
      <c r="J82" s="43" t="s">
        <v>4</v>
      </c>
      <c r="K82" s="43" t="s">
        <v>9</v>
      </c>
      <c r="L82" s="43" t="s">
        <v>8</v>
      </c>
      <c r="M82" s="43" t="s">
        <v>25</v>
      </c>
      <c r="N82" s="43" t="s">
        <v>7</v>
      </c>
      <c r="O82" s="43" t="s">
        <v>89</v>
      </c>
      <c r="P82" s="25"/>
      <c r="Q82" s="43" t="s">
        <v>5</v>
      </c>
      <c r="R82" s="43" t="s">
        <v>91</v>
      </c>
      <c r="T82" s="43"/>
    </row>
    <row r="83" spans="1:58" ht="15" x14ac:dyDescent="0.25">
      <c r="B83" s="3">
        <v>2016</v>
      </c>
      <c r="C83" s="23">
        <f t="shared" ref="C83:O83" si="38">IFERROR(C52/(8.76*C22),0)</f>
        <v>0.60460138070656211</v>
      </c>
      <c r="D83" s="23">
        <f t="shared" si="38"/>
        <v>0.90488773776270071</v>
      </c>
      <c r="E83" s="23">
        <f t="shared" si="38"/>
        <v>0.20327398012747969</v>
      </c>
      <c r="F83" s="23">
        <f t="shared" si="38"/>
        <v>6.7588779038524713E-2</v>
      </c>
      <c r="G83" s="23">
        <f t="shared" si="38"/>
        <v>0.82769756710584552</v>
      </c>
      <c r="H83" s="23">
        <f t="shared" si="38"/>
        <v>0.31449117136314036</v>
      </c>
      <c r="I83" s="23">
        <f t="shared" si="38"/>
        <v>0.47241434111308539</v>
      </c>
      <c r="J83" s="23">
        <f t="shared" si="38"/>
        <v>0.20369543738680201</v>
      </c>
      <c r="K83" s="23">
        <f t="shared" si="38"/>
        <v>0</v>
      </c>
      <c r="L83" s="23">
        <f t="shared" si="38"/>
        <v>0.68481680259532229</v>
      </c>
      <c r="M83" s="23">
        <f t="shared" si="38"/>
        <v>0</v>
      </c>
      <c r="N83" s="23">
        <f t="shared" si="38"/>
        <v>0.21634536847565858</v>
      </c>
      <c r="O83" s="23">
        <f t="shared" si="38"/>
        <v>0</v>
      </c>
      <c r="P83" s="26"/>
      <c r="Q83" s="7">
        <f t="shared" ref="Q83:R86" si="39">IFERROR(Q52/(8.76*Q22),0)</f>
        <v>0.57073122663346065</v>
      </c>
      <c r="R83" s="7">
        <f t="shared" si="39"/>
        <v>0.68481680259532229</v>
      </c>
      <c r="S83" s="5"/>
      <c r="T83" s="5"/>
    </row>
    <row r="84" spans="1:58" ht="15" x14ac:dyDescent="0.25">
      <c r="B84" s="3">
        <v>2030</v>
      </c>
      <c r="C84" s="23">
        <f t="shared" ref="C84:O84" si="40">IFERROR(C53/(8.76*C23),0)</f>
        <v>0.62793780831449886</v>
      </c>
      <c r="D84" s="23">
        <f t="shared" si="40"/>
        <v>0.87095771851746306</v>
      </c>
      <c r="E84" s="23">
        <f t="shared" si="40"/>
        <v>0.29454331703079506</v>
      </c>
      <c r="F84" s="23">
        <f t="shared" si="40"/>
        <v>3.4668392479464308E-2</v>
      </c>
      <c r="G84" s="23">
        <f t="shared" si="40"/>
        <v>0.60631806780782316</v>
      </c>
      <c r="H84" s="23">
        <f t="shared" si="40"/>
        <v>0.36350833000741239</v>
      </c>
      <c r="I84" s="23">
        <f t="shared" si="40"/>
        <v>0.54935860875687037</v>
      </c>
      <c r="J84" s="23">
        <f t="shared" si="40"/>
        <v>0.19967064524763142</v>
      </c>
      <c r="K84" s="23">
        <f t="shared" si="40"/>
        <v>0.76232969394110994</v>
      </c>
      <c r="L84" s="23">
        <f t="shared" si="40"/>
        <v>0.71285958132037985</v>
      </c>
      <c r="M84" s="23">
        <f t="shared" si="40"/>
        <v>0</v>
      </c>
      <c r="N84" s="23">
        <f t="shared" si="40"/>
        <v>0.23344715692542783</v>
      </c>
      <c r="O84" s="23">
        <f t="shared" si="40"/>
        <v>0.11895660206304594</v>
      </c>
      <c r="P84" s="26"/>
      <c r="Q84" s="7">
        <f t="shared" si="39"/>
        <v>0.38507723661137533</v>
      </c>
      <c r="R84" s="7">
        <f t="shared" si="39"/>
        <v>0.71843812593505796</v>
      </c>
      <c r="S84" s="5"/>
      <c r="T84" s="5"/>
    </row>
    <row r="85" spans="1:58" ht="15" x14ac:dyDescent="0.25">
      <c r="B85" s="3">
        <v>2040</v>
      </c>
      <c r="C85" s="23">
        <f t="shared" ref="C85:O85" si="41">IFERROR(C54/(8.76*C24),0)</f>
        <v>0.63247664655789138</v>
      </c>
      <c r="D85" s="23">
        <f t="shared" si="41"/>
        <v>0.82467265905006781</v>
      </c>
      <c r="E85" s="23">
        <f t="shared" si="41"/>
        <v>0.32887803313422548</v>
      </c>
      <c r="F85" s="23">
        <f t="shared" si="41"/>
        <v>3.9246644338685271E-2</v>
      </c>
      <c r="G85" s="23">
        <f t="shared" si="41"/>
        <v>0.57691435542701552</v>
      </c>
      <c r="H85" s="23">
        <f t="shared" si="41"/>
        <v>0.34750386980246767</v>
      </c>
      <c r="I85" s="23">
        <f t="shared" si="41"/>
        <v>0.55202175481046956</v>
      </c>
      <c r="J85" s="23">
        <f t="shared" si="41"/>
        <v>0.17803012160983567</v>
      </c>
      <c r="K85" s="23">
        <f t="shared" si="41"/>
        <v>0.63052326622437926</v>
      </c>
      <c r="L85" s="23">
        <f t="shared" si="41"/>
        <v>0.73293003172190763</v>
      </c>
      <c r="M85" s="23">
        <f t="shared" si="41"/>
        <v>0</v>
      </c>
      <c r="N85" s="23">
        <f t="shared" si="41"/>
        <v>0.23613489348333103</v>
      </c>
      <c r="O85" s="23">
        <f t="shared" si="41"/>
        <v>0.1199798972824406</v>
      </c>
      <c r="P85" s="26"/>
      <c r="Q85" s="7">
        <f t="shared" si="39"/>
        <v>0.37471480267381452</v>
      </c>
      <c r="R85" s="7">
        <f t="shared" si="39"/>
        <v>0.68562471295014615</v>
      </c>
      <c r="S85" s="5"/>
      <c r="T85" s="5"/>
    </row>
    <row r="86" spans="1:58" ht="15" x14ac:dyDescent="0.25">
      <c r="B86" s="3">
        <v>2050</v>
      </c>
      <c r="C86" s="23">
        <f t="shared" ref="C86:O86" si="42">IFERROR(C55/(8.76*C25),0)</f>
        <v>0</v>
      </c>
      <c r="D86" s="23">
        <f t="shared" si="42"/>
        <v>0</v>
      </c>
      <c r="E86" s="23">
        <f t="shared" si="42"/>
        <v>0.23446235960363274</v>
      </c>
      <c r="F86" s="23">
        <f t="shared" si="42"/>
        <v>1.5205778820811934E-2</v>
      </c>
      <c r="G86" s="23">
        <f t="shared" si="42"/>
        <v>0.61493477619863979</v>
      </c>
      <c r="H86" s="23">
        <f t="shared" si="42"/>
        <v>0.34555020766298461</v>
      </c>
      <c r="I86" s="23">
        <f t="shared" si="42"/>
        <v>0.59526821361712867</v>
      </c>
      <c r="J86" s="23">
        <f t="shared" si="42"/>
        <v>0.1526285957548752</v>
      </c>
      <c r="K86" s="23">
        <f t="shared" si="42"/>
        <v>0.27696030452852505</v>
      </c>
      <c r="L86" s="23">
        <f t="shared" si="42"/>
        <v>0.21043427658862479</v>
      </c>
      <c r="M86" s="23">
        <f t="shared" si="42"/>
        <v>0</v>
      </c>
      <c r="N86" s="23">
        <f t="shared" si="42"/>
        <v>0.21777805540861944</v>
      </c>
      <c r="O86" s="23">
        <f t="shared" si="42"/>
        <v>8.4219406580942416E-2</v>
      </c>
      <c r="P86" s="26"/>
      <c r="Q86" s="7">
        <f t="shared" si="39"/>
        <v>0.42698505239925905</v>
      </c>
      <c r="R86" s="7">
        <f t="shared" si="39"/>
        <v>0.23473679797170244</v>
      </c>
      <c r="S86" s="5"/>
      <c r="T86" s="5"/>
    </row>
    <row r="87" spans="1:58" s="11" customFormat="1" ht="15" x14ac:dyDescent="0.25">
      <c r="C87" s="12"/>
      <c r="D87" s="12"/>
      <c r="E87" s="14"/>
      <c r="F87" s="14"/>
      <c r="G87" s="14"/>
      <c r="H87" s="16"/>
      <c r="I87" s="14"/>
      <c r="J87" s="14"/>
      <c r="K87" s="16"/>
      <c r="L87" s="14"/>
      <c r="M87" s="16"/>
      <c r="N87" s="20"/>
      <c r="O87" s="20"/>
      <c r="P87" s="20"/>
    </row>
    <row r="88" spans="1:58" s="9" customFormat="1" ht="21" x14ac:dyDescent="0.35">
      <c r="B88" s="10" t="s">
        <v>57</v>
      </c>
    </row>
    <row r="89" spans="1:58" ht="30" x14ac:dyDescent="0.25">
      <c r="B89" s="43" t="s">
        <v>56</v>
      </c>
      <c r="C89" s="43" t="s">
        <v>0</v>
      </c>
      <c r="D89" s="43" t="s">
        <v>1</v>
      </c>
      <c r="E89" s="43" t="s">
        <v>28</v>
      </c>
      <c r="F89" s="2" t="s">
        <v>29</v>
      </c>
      <c r="G89" s="2" t="s">
        <v>6</v>
      </c>
      <c r="H89" s="43" t="s">
        <v>2</v>
      </c>
      <c r="I89" s="43" t="s">
        <v>3</v>
      </c>
      <c r="J89" s="43" t="s">
        <v>4</v>
      </c>
      <c r="K89" s="43" t="s">
        <v>9</v>
      </c>
      <c r="L89" s="43" t="s">
        <v>8</v>
      </c>
      <c r="M89" s="43" t="s">
        <v>25</v>
      </c>
      <c r="N89" s="43" t="s">
        <v>7</v>
      </c>
      <c r="O89" s="43" t="s">
        <v>89</v>
      </c>
      <c r="P89" s="25"/>
      <c r="Q89" s="43"/>
      <c r="R89" s="43"/>
      <c r="T89" s="43"/>
      <c r="U89" s="25"/>
      <c r="V89" s="25"/>
      <c r="W89" s="25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</row>
    <row r="90" spans="1:58" ht="15" x14ac:dyDescent="0.25">
      <c r="A90" s="15"/>
      <c r="B90" s="3">
        <v>2016</v>
      </c>
      <c r="C90" s="80">
        <f>Y90*(Inputs_Summary!$I72/$Y52)</f>
        <v>237361.23967653932</v>
      </c>
      <c r="D90" s="80">
        <f>Z90*(Inputs_Summary!$I72/$Y52)</f>
        <v>14483.908918227477</v>
      </c>
      <c r="E90" s="80">
        <f>AA90*(Inputs_Summary!$I72/$Y52)</f>
        <v>2953.3918178067293</v>
      </c>
      <c r="F90" s="80">
        <f>AB90*(Inputs_Summary!$I72/$Y52)</f>
        <v>26109.111840910784</v>
      </c>
      <c r="G90" s="80">
        <f>AC90*(Inputs_Summary!$I72/$Y52)</f>
        <v>17279.155266936097</v>
      </c>
      <c r="H90" s="44">
        <f>AD90*(Inputs_Summary!$I72/$Y52)</f>
        <v>4573.4046786099279</v>
      </c>
      <c r="I90" s="80">
        <f>AE90*(Inputs_Summary!$I72/$Y52)</f>
        <v>922.30319981359185</v>
      </c>
      <c r="J90" s="44">
        <f>AF90*(Inputs_Summary!$I72/$Y52)</f>
        <v>2684.1837758456386</v>
      </c>
      <c r="K90" s="80">
        <f>AG90*(Inputs_Summary!$I72/$Y52)</f>
        <v>0</v>
      </c>
      <c r="L90" s="80">
        <f>AH90*(Inputs_Summary!$I72/$Y52)</f>
        <v>1875.5851175839462</v>
      </c>
      <c r="M90" s="80">
        <f>AI90*(Inputs_Summary!$I72/$Y52)</f>
        <v>0</v>
      </c>
      <c r="N90" s="80">
        <f>AJ90*(Inputs_Summary!$I72/$Y52)</f>
        <v>12224.544031685698</v>
      </c>
      <c r="O90" s="80" t="e">
        <f>AK90*(Inputs_Summary!#REF!/$Y52)</f>
        <v>#REF!</v>
      </c>
      <c r="P90" s="83"/>
      <c r="Q90" s="39"/>
      <c r="R90" s="5"/>
      <c r="T90" s="5"/>
      <c r="U90" s="24"/>
      <c r="V90" s="24"/>
      <c r="W90" s="26"/>
      <c r="X90" s="39"/>
      <c r="Y90" s="82">
        <v>235642</v>
      </c>
      <c r="Z90" s="39">
        <v>14379</v>
      </c>
      <c r="AA90" s="39">
        <v>2932</v>
      </c>
      <c r="AB90" s="39">
        <v>25920</v>
      </c>
      <c r="AC90" s="39">
        <v>17154</v>
      </c>
      <c r="AD90" s="39">
        <v>4540.2788877644989</v>
      </c>
      <c r="AE90" s="39">
        <v>915.6228325511039</v>
      </c>
      <c r="AF90" s="39">
        <v>2664.7418684270319</v>
      </c>
      <c r="AG90" s="39">
        <v>0</v>
      </c>
      <c r="AH90" s="39">
        <v>1862</v>
      </c>
      <c r="AI90" s="39">
        <v>0</v>
      </c>
      <c r="AJ90" s="39">
        <v>12136</v>
      </c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</row>
    <row r="91" spans="1:58" ht="15" x14ac:dyDescent="0.25">
      <c r="A91" s="15"/>
      <c r="B91" s="3">
        <v>2030</v>
      </c>
      <c r="C91" s="80">
        <f>Y91*(Inputs_Summary!$I73/$Y53)</f>
        <v>155779.08857891354</v>
      </c>
      <c r="D91" s="80">
        <f>Z91*(Inputs_Summary!$I73/$Y53)</f>
        <v>14684.708913752109</v>
      </c>
      <c r="E91" s="80">
        <f>AA91*(Inputs_Summary!$I73/$Y53)</f>
        <v>42838.305874048398</v>
      </c>
      <c r="F91" s="80">
        <f>AB91*(Inputs_Summary!$I73/$Y53)</f>
        <v>128271.14145833421</v>
      </c>
      <c r="G91" s="80">
        <f>AC91*(Inputs_Summary!$I73/$Y53)</f>
        <v>17847.679139600918</v>
      </c>
      <c r="H91" s="44">
        <f>AD91*(Inputs_Summary!$I73/$Y53)</f>
        <v>122498.03230699456</v>
      </c>
      <c r="I91" s="80">
        <f>AE91*(Inputs_Summary!$I73/$Y53)</f>
        <v>5051.9804993966927</v>
      </c>
      <c r="J91" s="44">
        <f>AF91*(Inputs_Summary!$I73/$Y53)</f>
        <v>44398.881316018305</v>
      </c>
      <c r="K91" s="80">
        <f>AG91*(Inputs_Summary!$I73/$Y53)</f>
        <v>404.93362775297538</v>
      </c>
      <c r="L91" s="80">
        <f>AH91*(Inputs_Summary!$I73/$Y53)</f>
        <v>3055.8719112038143</v>
      </c>
      <c r="M91" s="80">
        <f>AI91*(Inputs_Summary!$I73/$Y53)</f>
        <v>5418.1547370876706</v>
      </c>
      <c r="N91" s="80">
        <f>AJ91*(Inputs_Summary!$I73/$Y53)</f>
        <v>25549.577938499449</v>
      </c>
      <c r="O91" s="80" t="e">
        <f>AK91*(Inputs_Summary!#REF!/$Y53)</f>
        <v>#REF!</v>
      </c>
      <c r="P91" s="83"/>
      <c r="Q91" s="39"/>
      <c r="R91" s="5"/>
      <c r="T91" s="5"/>
      <c r="U91" s="24"/>
      <c r="V91" s="24"/>
      <c r="W91" s="26"/>
      <c r="X91" s="39"/>
      <c r="Y91" s="82">
        <v>152727</v>
      </c>
      <c r="Z91" s="82">
        <v>14397</v>
      </c>
      <c r="AA91" s="82">
        <v>41999</v>
      </c>
      <c r="AB91" s="82">
        <v>125758</v>
      </c>
      <c r="AC91" s="82">
        <v>17498</v>
      </c>
      <c r="AD91" s="82">
        <v>120098</v>
      </c>
      <c r="AE91" s="82">
        <v>4953</v>
      </c>
      <c r="AF91" s="82">
        <v>43529</v>
      </c>
      <c r="AG91" s="82">
        <v>397</v>
      </c>
      <c r="AH91" s="82">
        <v>2996</v>
      </c>
      <c r="AI91" s="82">
        <v>5312</v>
      </c>
      <c r="AJ91" s="82">
        <v>25049</v>
      </c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</row>
    <row r="92" spans="1:58" ht="15" x14ac:dyDescent="0.25">
      <c r="A92" s="15"/>
      <c r="B92" s="3">
        <v>2040</v>
      </c>
      <c r="C92" s="80">
        <f>Y92*(Inputs_Summary!$I74/$Y54)</f>
        <v>64603.505569824985</v>
      </c>
      <c r="D92" s="80">
        <f>Z92*(Inputs_Summary!$I74/$Y54)</f>
        <v>14772.541068430368</v>
      </c>
      <c r="E92" s="80">
        <f>AA92*(Inputs_Summary!$I74/$Y54)</f>
        <v>111081.27397145829</v>
      </c>
      <c r="F92" s="80">
        <f>AB92*(Inputs_Summary!$I74/$Y54)</f>
        <v>229420.27427204957</v>
      </c>
      <c r="G92" s="80">
        <f>AC92*(Inputs_Summary!$I74/$Y54)</f>
        <v>17845.550971176588</v>
      </c>
      <c r="H92" s="44">
        <f>AD92*(Inputs_Summary!$I74/$Y54)</f>
        <v>205264.00623261897</v>
      </c>
      <c r="I92" s="80">
        <f>AE92*(Inputs_Summary!$I74/$Y54)</f>
        <v>5077.4961007466991</v>
      </c>
      <c r="J92" s="44">
        <f>AF92*(Inputs_Summary!$I74/$Y54)</f>
        <v>105229.4998854118</v>
      </c>
      <c r="K92" s="80">
        <f>AG92*(Inputs_Summary!$I74/$Y54)</f>
        <v>2683.3602810908187</v>
      </c>
      <c r="L92" s="80">
        <f>AH92*(Inputs_Summary!$I74/$Y54)</f>
        <v>3058.9503803153571</v>
      </c>
      <c r="M92" s="80">
        <f>AI92*(Inputs_Summary!$I74/$Y54)</f>
        <v>28301.818653331382</v>
      </c>
      <c r="N92" s="80">
        <f>AJ92*(Inputs_Summary!$I74/$Y54)</f>
        <v>25599.377591798675</v>
      </c>
      <c r="O92" s="80" t="e">
        <f>AK92*(Inputs_Summary!#REF!/$Y54)</f>
        <v>#REF!</v>
      </c>
      <c r="P92" s="83"/>
      <c r="Q92" s="39"/>
      <c r="R92" s="5"/>
      <c r="T92" s="5"/>
      <c r="U92" s="24"/>
      <c r="V92" s="24"/>
      <c r="W92" s="26"/>
      <c r="X92" s="39"/>
      <c r="Y92" s="82">
        <v>64330</v>
      </c>
      <c r="Z92" s="82">
        <v>14710</v>
      </c>
      <c r="AA92" s="82">
        <v>110611</v>
      </c>
      <c r="AB92" s="82">
        <v>228449</v>
      </c>
      <c r="AC92" s="82">
        <v>17770</v>
      </c>
      <c r="AD92" s="82">
        <v>204395</v>
      </c>
      <c r="AE92" s="82">
        <v>5056</v>
      </c>
      <c r="AF92" s="82">
        <v>104784</v>
      </c>
      <c r="AG92" s="82">
        <v>2672</v>
      </c>
      <c r="AH92" s="82">
        <v>3046</v>
      </c>
      <c r="AI92" s="82">
        <v>28182</v>
      </c>
      <c r="AJ92" s="82">
        <v>25491</v>
      </c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</row>
    <row r="93" spans="1:58" ht="15" x14ac:dyDescent="0.25">
      <c r="A93" s="15"/>
      <c r="B93" s="3">
        <v>2050</v>
      </c>
      <c r="C93" s="80">
        <f>Y93*(Inputs_Summary!$I75/$Y55)</f>
        <v>0</v>
      </c>
      <c r="D93" s="80">
        <f>Z93*(Inputs_Summary!$I75/$Y55)</f>
        <v>0</v>
      </c>
      <c r="E93" s="80">
        <f>AA93*(Inputs_Summary!$I75/$Y55)</f>
        <v>111430.73863178192</v>
      </c>
      <c r="F93" s="80">
        <f>AB93*(Inputs_Summary!$I75/$Y55)</f>
        <v>221808.20857843812</v>
      </c>
      <c r="G93" s="80">
        <f>AC93*(Inputs_Summary!$I75/$Y55)</f>
        <v>38231.109142804278</v>
      </c>
      <c r="H93" s="44">
        <f>AD93*(Inputs_Summary!$I75/$Y55)</f>
        <v>253558.91676773468</v>
      </c>
      <c r="I93" s="80">
        <f>AE93*(Inputs_Summary!$I75/$Y55)</f>
        <v>116837.51788209386</v>
      </c>
      <c r="J93" s="44">
        <f>AF93*(Inputs_Summary!$I75/$Y55)</f>
        <v>149774.80702487504</v>
      </c>
      <c r="K93" s="80">
        <f>AG93*(Inputs_Summary!$I75/$Y55)</f>
        <v>42668.067082077774</v>
      </c>
      <c r="L93" s="80">
        <f>AH93*(Inputs_Summary!$I75/$Y55)</f>
        <v>78393.719700457426</v>
      </c>
      <c r="M93" s="80">
        <f>AI93*(Inputs_Summary!$I75/$Y55)</f>
        <v>26288.975790195458</v>
      </c>
      <c r="N93" s="80">
        <f>AJ93*(Inputs_Summary!$I75/$Y55)</f>
        <v>33995.646082424399</v>
      </c>
      <c r="O93" s="80" t="e">
        <f>AK93*(Inputs_Summary!#REF!/$Y55)</f>
        <v>#REF!</v>
      </c>
      <c r="P93" s="83"/>
      <c r="Q93" s="39"/>
      <c r="R93" s="5"/>
      <c r="T93" s="5"/>
      <c r="U93" s="24"/>
      <c r="V93" s="24"/>
      <c r="W93" s="26"/>
      <c r="X93" s="39"/>
      <c r="Y93" s="82">
        <v>0</v>
      </c>
      <c r="Z93" s="82">
        <v>0</v>
      </c>
      <c r="AA93" s="82">
        <v>109498</v>
      </c>
      <c r="AB93" s="82">
        <v>217961</v>
      </c>
      <c r="AC93" s="82">
        <v>37568</v>
      </c>
      <c r="AD93" s="82">
        <v>249161</v>
      </c>
      <c r="AE93" s="82">
        <v>114811</v>
      </c>
      <c r="AF93" s="82">
        <v>147177</v>
      </c>
      <c r="AG93" s="82">
        <v>41928</v>
      </c>
      <c r="AH93" s="82">
        <v>77034</v>
      </c>
      <c r="AI93" s="82">
        <v>25833</v>
      </c>
      <c r="AJ93" s="82">
        <v>33406</v>
      </c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</row>
    <row r="94" spans="1:58" s="11" customFormat="1" ht="15" x14ac:dyDescent="0.25">
      <c r="A94" s="20"/>
      <c r="C94" s="83"/>
      <c r="D94" s="83"/>
      <c r="E94" s="83"/>
      <c r="F94" s="83"/>
      <c r="G94" s="83"/>
      <c r="H94" s="56"/>
      <c r="I94" s="83"/>
      <c r="J94" s="56"/>
      <c r="K94" s="83"/>
      <c r="L94" s="83"/>
      <c r="M94" s="83"/>
      <c r="N94" s="83"/>
      <c r="O94" s="83"/>
      <c r="P94" s="83"/>
      <c r="Q94" s="12"/>
      <c r="R94" s="57"/>
      <c r="T94" s="57"/>
      <c r="U94" s="24"/>
      <c r="V94" s="24"/>
      <c r="W94" s="26"/>
      <c r="X94" s="1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</row>
    <row r="95" spans="1:58" ht="30" x14ac:dyDescent="0.25">
      <c r="B95" s="43" t="s">
        <v>54</v>
      </c>
      <c r="C95" s="43" t="s">
        <v>0</v>
      </c>
      <c r="D95" s="43" t="s">
        <v>1</v>
      </c>
      <c r="E95" s="43" t="s">
        <v>28</v>
      </c>
      <c r="F95" s="2" t="s">
        <v>29</v>
      </c>
      <c r="G95" s="2" t="s">
        <v>6</v>
      </c>
      <c r="H95" s="43" t="s">
        <v>2</v>
      </c>
      <c r="I95" s="43" t="s">
        <v>3</v>
      </c>
      <c r="J95" s="43" t="s">
        <v>4</v>
      </c>
      <c r="K95" s="43" t="s">
        <v>9</v>
      </c>
      <c r="L95" s="43" t="s">
        <v>8</v>
      </c>
      <c r="M95" s="43" t="s">
        <v>25</v>
      </c>
      <c r="N95" s="43" t="s">
        <v>7</v>
      </c>
      <c r="O95" s="43" t="s">
        <v>89</v>
      </c>
      <c r="P95" s="25"/>
      <c r="Q95" s="43"/>
      <c r="R95" s="43"/>
      <c r="T95" s="43"/>
      <c r="U95" s="25"/>
      <c r="V95" s="25"/>
      <c r="W95" s="25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</row>
    <row r="96" spans="1:58" ht="15" x14ac:dyDescent="0.25">
      <c r="A96" s="15"/>
      <c r="B96" s="3">
        <v>2016</v>
      </c>
      <c r="C96" s="80">
        <f t="shared" ref="C96:O99" si="43">C90-C52</f>
        <v>42552.435326636099</v>
      </c>
      <c r="D96" s="80">
        <f t="shared" si="43"/>
        <v>-259.96992578286336</v>
      </c>
      <c r="E96" s="80">
        <f t="shared" si="43"/>
        <v>2197.3150618184891</v>
      </c>
      <c r="F96" s="80">
        <f t="shared" si="43"/>
        <v>24084.798169644193</v>
      </c>
      <c r="G96" s="80">
        <f t="shared" si="43"/>
        <v>1480.0309981170321</v>
      </c>
      <c r="H96" s="50">
        <f t="shared" si="43"/>
        <v>551.18839334390805</v>
      </c>
      <c r="I96" s="80">
        <f t="shared" si="43"/>
        <v>94.633274183466256</v>
      </c>
      <c r="J96" s="50">
        <f t="shared" si="43"/>
        <v>45.097541244736476</v>
      </c>
      <c r="K96" s="80">
        <f t="shared" si="43"/>
        <v>0</v>
      </c>
      <c r="L96" s="80">
        <f t="shared" si="43"/>
        <v>291.85038722989998</v>
      </c>
      <c r="M96" s="80">
        <f t="shared" si="43"/>
        <v>0</v>
      </c>
      <c r="N96" s="80">
        <f t="shared" si="43"/>
        <v>9230.1510556878038</v>
      </c>
      <c r="O96" s="80" t="e">
        <f t="shared" si="43"/>
        <v>#REF!</v>
      </c>
      <c r="P96" s="83"/>
      <c r="Q96" s="39"/>
      <c r="R96" s="5"/>
      <c r="T96" s="5"/>
      <c r="U96" s="24"/>
      <c r="V96" s="24"/>
      <c r="W96" s="26"/>
      <c r="X96" s="39"/>
      <c r="Y96" s="82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</row>
    <row r="97" spans="1:58" ht="15" x14ac:dyDescent="0.25">
      <c r="A97" s="15"/>
      <c r="B97" s="3">
        <v>2030</v>
      </c>
      <c r="C97" s="80">
        <f t="shared" ref="C97:N97" si="44">C91-C53</f>
        <v>28998.143670068239</v>
      </c>
      <c r="D97" s="80">
        <f t="shared" si="44"/>
        <v>493.67223131597166</v>
      </c>
      <c r="E97" s="80">
        <f t="shared" si="44"/>
        <v>28521.811165885265</v>
      </c>
      <c r="F97" s="80">
        <f t="shared" si="44"/>
        <v>123247.72050950951</v>
      </c>
      <c r="G97" s="80">
        <f t="shared" si="44"/>
        <v>6035.2450262326347</v>
      </c>
      <c r="H97" s="50">
        <f t="shared" si="44"/>
        <v>837.40682212894899</v>
      </c>
      <c r="I97" s="80">
        <f t="shared" si="44"/>
        <v>-1.0199839490005616</v>
      </c>
      <c r="J97" s="50">
        <f t="shared" si="44"/>
        <v>651.76974341096502</v>
      </c>
      <c r="K97" s="80">
        <f t="shared" si="44"/>
        <v>50.999197449996871</v>
      </c>
      <c r="L97" s="80">
        <f t="shared" si="44"/>
        <v>451.85288940697228</v>
      </c>
      <c r="M97" s="80">
        <f t="shared" si="44"/>
        <v>5418.1547370876706</v>
      </c>
      <c r="N97" s="80">
        <f t="shared" si="44"/>
        <v>18913.56236630585</v>
      </c>
      <c r="O97" s="80" t="e">
        <f t="shared" si="43"/>
        <v>#REF!</v>
      </c>
      <c r="P97" s="83"/>
      <c r="Q97" s="39"/>
      <c r="R97" s="5"/>
      <c r="T97" s="5"/>
      <c r="U97" s="24"/>
      <c r="V97" s="24"/>
      <c r="W97" s="26"/>
      <c r="X97" s="39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</row>
    <row r="98" spans="1:58" ht="15" x14ac:dyDescent="0.25">
      <c r="A98" s="15"/>
      <c r="B98" s="3">
        <v>2040</v>
      </c>
      <c r="C98" s="80">
        <f t="shared" ref="C98:N98" si="45">C92-C54</f>
        <v>14528.507929094638</v>
      </c>
      <c r="D98" s="80">
        <f t="shared" si="45"/>
        <v>1335.654630932182</v>
      </c>
      <c r="E98" s="80">
        <f t="shared" si="45"/>
        <v>69789.460843609791</v>
      </c>
      <c r="F98" s="80">
        <f t="shared" si="45"/>
        <v>219272.3118317716</v>
      </c>
      <c r="G98" s="80">
        <f t="shared" si="45"/>
        <v>6605.9670393021697</v>
      </c>
      <c r="H98" s="50">
        <f t="shared" si="45"/>
        <v>2524.6885279424896</v>
      </c>
      <c r="I98" s="80">
        <f t="shared" si="45"/>
        <v>0</v>
      </c>
      <c r="J98" s="50">
        <f t="shared" si="45"/>
        <v>13423.831166669523</v>
      </c>
      <c r="K98" s="80">
        <f t="shared" si="45"/>
        <v>705.9888763498675</v>
      </c>
      <c r="L98" s="80">
        <f t="shared" si="45"/>
        <v>381.6156088377661</v>
      </c>
      <c r="M98" s="80">
        <f t="shared" si="45"/>
        <v>28301.818653331382</v>
      </c>
      <c r="N98" s="80">
        <f t="shared" si="45"/>
        <v>18886.95988266281</v>
      </c>
      <c r="O98" s="80" t="e">
        <f t="shared" si="43"/>
        <v>#REF!</v>
      </c>
      <c r="P98" s="83"/>
      <c r="Q98" s="39"/>
      <c r="R98" s="5"/>
      <c r="T98" s="5"/>
      <c r="U98" s="24"/>
      <c r="V98" s="24"/>
      <c r="W98" s="26"/>
      <c r="X98" s="39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</row>
    <row r="99" spans="1:58" ht="15" x14ac:dyDescent="0.25">
      <c r="A99" s="15"/>
      <c r="B99" s="3">
        <v>2050</v>
      </c>
      <c r="C99" s="80">
        <f t="shared" ref="C99:N99" si="46">C93-C55</f>
        <v>0</v>
      </c>
      <c r="D99" s="80">
        <f t="shared" si="46"/>
        <v>0</v>
      </c>
      <c r="E99" s="80">
        <f t="shared" si="46"/>
        <v>81993.150946147885</v>
      </c>
      <c r="F99" s="80">
        <f t="shared" si="46"/>
        <v>218010.33540656455</v>
      </c>
      <c r="G99" s="80">
        <f t="shared" si="46"/>
        <v>12783.730649805882</v>
      </c>
      <c r="H99" s="50">
        <f t="shared" si="46"/>
        <v>2921.6757439573703</v>
      </c>
      <c r="I99" s="80">
        <f t="shared" si="46"/>
        <v>46962.55389486083</v>
      </c>
      <c r="J99" s="50">
        <f t="shared" si="46"/>
        <v>37197.175824845137</v>
      </c>
      <c r="K99" s="80">
        <f t="shared" si="46"/>
        <v>28790.361711006066</v>
      </c>
      <c r="L99" s="80">
        <f t="shared" si="46"/>
        <v>60073.96813559471</v>
      </c>
      <c r="M99" s="80">
        <f t="shared" si="46"/>
        <v>26288.975790195458</v>
      </c>
      <c r="N99" s="80">
        <f t="shared" si="46"/>
        <v>25899.215494153774</v>
      </c>
      <c r="O99" s="80" t="e">
        <f t="shared" si="43"/>
        <v>#REF!</v>
      </c>
      <c r="P99" s="83"/>
      <c r="Q99" s="39"/>
      <c r="R99" s="5"/>
      <c r="T99" s="5"/>
      <c r="U99" s="24"/>
      <c r="V99" s="24"/>
      <c r="W99" s="26"/>
      <c r="X99" s="39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</row>
    <row r="100" spans="1:58" s="11" customFormat="1" ht="15" x14ac:dyDescent="0.25">
      <c r="A100" s="20"/>
      <c r="C100" s="83"/>
      <c r="D100" s="83"/>
      <c r="E100" s="83"/>
      <c r="F100" s="83"/>
      <c r="G100" s="83"/>
      <c r="H100" s="56"/>
      <c r="I100" s="83"/>
      <c r="J100" s="56"/>
      <c r="K100" s="83"/>
      <c r="L100" s="83"/>
      <c r="M100" s="83"/>
      <c r="N100" s="83"/>
      <c r="O100" s="83"/>
      <c r="P100" s="83"/>
      <c r="Q100" s="12"/>
      <c r="R100" s="57"/>
      <c r="T100" s="57"/>
      <c r="U100" s="24"/>
      <c r="V100" s="24"/>
      <c r="W100" s="26"/>
      <c r="X100" s="1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</row>
    <row r="101" spans="1:58" s="11" customFormat="1" ht="30" x14ac:dyDescent="0.25">
      <c r="A101" s="20"/>
      <c r="B101" s="43" t="s">
        <v>55</v>
      </c>
      <c r="C101" s="43" t="s">
        <v>0</v>
      </c>
      <c r="D101" s="43" t="s">
        <v>1</v>
      </c>
      <c r="E101" s="43" t="s">
        <v>28</v>
      </c>
      <c r="F101" s="2" t="s">
        <v>29</v>
      </c>
      <c r="G101" s="2" t="s">
        <v>6</v>
      </c>
      <c r="H101" s="43" t="s">
        <v>2</v>
      </c>
      <c r="I101" s="43" t="s">
        <v>3</v>
      </c>
      <c r="J101" s="43" t="s">
        <v>4</v>
      </c>
      <c r="K101" s="43" t="s">
        <v>9</v>
      </c>
      <c r="L101" s="43" t="s">
        <v>8</v>
      </c>
      <c r="M101" s="43" t="s">
        <v>25</v>
      </c>
      <c r="N101" s="43" t="s">
        <v>7</v>
      </c>
      <c r="O101" s="43" t="s">
        <v>89</v>
      </c>
      <c r="P101" s="25"/>
      <c r="Q101" s="12"/>
      <c r="R101" s="57"/>
      <c r="T101" s="57"/>
      <c r="U101" s="24"/>
      <c r="V101" s="24"/>
      <c r="W101" s="26"/>
      <c r="Y101" s="14"/>
    </row>
    <row r="102" spans="1:58" ht="15" x14ac:dyDescent="0.25">
      <c r="B102" s="3">
        <v>2016</v>
      </c>
      <c r="C102" s="81">
        <f>IFERROR(C96/C90,"")</f>
        <v>0.17927288964543592</v>
      </c>
      <c r="D102" s="81">
        <f t="shared" ref="D102:O105" si="47">IFERROR(D96/D90,"")</f>
        <v>-1.7948878804098289E-2</v>
      </c>
      <c r="E102" s="81">
        <f t="shared" si="47"/>
        <v>0.74399713866962502</v>
      </c>
      <c r="F102" s="81">
        <f t="shared" si="47"/>
        <v>0.92246715692202663</v>
      </c>
      <c r="G102" s="81">
        <f t="shared" si="47"/>
        <v>8.5654129224076822E-2</v>
      </c>
      <c r="H102" s="23">
        <f t="shared" si="47"/>
        <v>0.12052036329123625</v>
      </c>
      <c r="I102" s="81">
        <f t="shared" si="47"/>
        <v>0.10260538421919466</v>
      </c>
      <c r="J102" s="23">
        <f t="shared" si="47"/>
        <v>1.6801212216003624E-2</v>
      </c>
      <c r="K102" s="81" t="str">
        <f t="shared" si="47"/>
        <v/>
      </c>
      <c r="L102" s="81">
        <f t="shared" si="47"/>
        <v>0.15560498134355533</v>
      </c>
      <c r="M102" s="81" t="str">
        <f t="shared" si="47"/>
        <v/>
      </c>
      <c r="N102" s="81">
        <f t="shared" si="47"/>
        <v>0.75505074314129783</v>
      </c>
      <c r="O102" s="81" t="str">
        <f t="shared" si="47"/>
        <v/>
      </c>
      <c r="P102" s="98"/>
      <c r="Q102" s="7"/>
      <c r="R102" s="7"/>
      <c r="T102" s="8"/>
    </row>
    <row r="103" spans="1:58" ht="15" x14ac:dyDescent="0.25">
      <c r="B103" s="3">
        <v>2030</v>
      </c>
      <c r="C103" s="81">
        <f t="shared" ref="C103:N105" si="48">IFERROR(C97/C91,"")</f>
        <v>0.18614914193299156</v>
      </c>
      <c r="D103" s="81">
        <f t="shared" si="48"/>
        <v>3.3618114885045604E-2</v>
      </c>
      <c r="E103" s="81">
        <f t="shared" si="48"/>
        <v>0.66580156670396906</v>
      </c>
      <c r="F103" s="81">
        <f t="shared" si="48"/>
        <v>0.96083748151211057</v>
      </c>
      <c r="G103" s="81">
        <f t="shared" si="48"/>
        <v>0.33815293176363015</v>
      </c>
      <c r="H103" s="23">
        <f t="shared" si="48"/>
        <v>6.8360838648437094E-3</v>
      </c>
      <c r="I103" s="81">
        <f t="shared" si="48"/>
        <v>-2.0189783969323872E-4</v>
      </c>
      <c r="J103" s="23">
        <f t="shared" si="48"/>
        <v>1.4679868593351662E-2</v>
      </c>
      <c r="K103" s="81">
        <f t="shared" si="48"/>
        <v>0.12594458438287146</v>
      </c>
      <c r="L103" s="81">
        <f t="shared" si="48"/>
        <v>0.147863818424566</v>
      </c>
      <c r="M103" s="81">
        <f t="shared" si="48"/>
        <v>1</v>
      </c>
      <c r="N103" s="81">
        <f t="shared" si="48"/>
        <v>0.74026907261766928</v>
      </c>
      <c r="O103" s="81" t="str">
        <f t="shared" si="47"/>
        <v/>
      </c>
      <c r="P103" s="98"/>
      <c r="Q103" s="7"/>
      <c r="R103" s="7"/>
      <c r="T103" s="8"/>
    </row>
    <row r="104" spans="1:58" ht="15" x14ac:dyDescent="0.25">
      <c r="B104" s="3">
        <v>2040</v>
      </c>
      <c r="C104" s="81">
        <f t="shared" si="48"/>
        <v>0.22488729986009637</v>
      </c>
      <c r="D104" s="81">
        <f t="shared" si="48"/>
        <v>9.041468388851126E-2</v>
      </c>
      <c r="E104" s="81">
        <f t="shared" si="48"/>
        <v>0.62827386064677115</v>
      </c>
      <c r="F104" s="81">
        <f t="shared" si="48"/>
        <v>0.9557669326633077</v>
      </c>
      <c r="G104" s="81">
        <f t="shared" si="48"/>
        <v>0.37017445132245347</v>
      </c>
      <c r="H104" s="23">
        <f t="shared" si="48"/>
        <v>1.2299713789476285E-2</v>
      </c>
      <c r="I104" s="81">
        <f t="shared" si="48"/>
        <v>0</v>
      </c>
      <c r="J104" s="23">
        <f t="shared" si="48"/>
        <v>0.12756718582989768</v>
      </c>
      <c r="K104" s="81">
        <f t="shared" si="48"/>
        <v>0.26309880239520961</v>
      </c>
      <c r="L104" s="81">
        <f t="shared" si="48"/>
        <v>0.12475377544320419</v>
      </c>
      <c r="M104" s="81">
        <f t="shared" si="48"/>
        <v>1</v>
      </c>
      <c r="N104" s="81">
        <f t="shared" si="48"/>
        <v>0.73778980816758855</v>
      </c>
      <c r="O104" s="81" t="str">
        <f t="shared" si="47"/>
        <v/>
      </c>
      <c r="P104" s="98"/>
      <c r="Q104" s="7"/>
      <c r="R104" s="7"/>
      <c r="T104" s="8"/>
    </row>
    <row r="105" spans="1:58" ht="15" x14ac:dyDescent="0.25">
      <c r="B105" s="3">
        <v>2050</v>
      </c>
      <c r="C105" s="81" t="str">
        <f t="shared" si="48"/>
        <v/>
      </c>
      <c r="D105" s="81" t="str">
        <f t="shared" si="48"/>
        <v/>
      </c>
      <c r="E105" s="81">
        <f t="shared" si="48"/>
        <v>0.73582165884308393</v>
      </c>
      <c r="F105" s="81">
        <f t="shared" si="48"/>
        <v>0.98287767077596444</v>
      </c>
      <c r="G105" s="81">
        <f t="shared" si="48"/>
        <v>0.33438032367972748</v>
      </c>
      <c r="H105" s="23">
        <f t="shared" si="48"/>
        <v>1.1522670080791072E-2</v>
      </c>
      <c r="I105" s="81">
        <f t="shared" si="48"/>
        <v>0.40194754857983989</v>
      </c>
      <c r="J105" s="23">
        <f t="shared" si="48"/>
        <v>0.24835402270735238</v>
      </c>
      <c r="K105" s="81">
        <f t="shared" si="48"/>
        <v>0.67475195573363866</v>
      </c>
      <c r="L105" s="81">
        <f t="shared" si="48"/>
        <v>0.76631097956746375</v>
      </c>
      <c r="M105" s="81">
        <f t="shared" si="48"/>
        <v>1</v>
      </c>
      <c r="N105" s="81">
        <f t="shared" si="48"/>
        <v>0.76183919056456928</v>
      </c>
      <c r="O105" s="81" t="str">
        <f t="shared" si="47"/>
        <v/>
      </c>
      <c r="P105" s="98"/>
      <c r="Q105" s="7"/>
      <c r="R105" s="7"/>
      <c r="T105" s="8"/>
    </row>
    <row r="106" spans="1:58" ht="15" x14ac:dyDescent="0.25"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</row>
    <row r="107" spans="1:58" s="9" customFormat="1" ht="21" x14ac:dyDescent="0.35">
      <c r="B107" s="10" t="s">
        <v>17</v>
      </c>
    </row>
    <row r="108" spans="1:58" s="32" customFormat="1" ht="21" x14ac:dyDescent="0.35">
      <c r="B108" s="31"/>
      <c r="P108" s="58"/>
    </row>
    <row r="109" spans="1:58" ht="30" x14ac:dyDescent="0.25">
      <c r="B109" s="43" t="s">
        <v>40</v>
      </c>
      <c r="C109" s="43" t="s">
        <v>0</v>
      </c>
      <c r="D109" s="43" t="s">
        <v>1</v>
      </c>
      <c r="E109" s="43" t="s">
        <v>28</v>
      </c>
      <c r="F109" s="2" t="s">
        <v>29</v>
      </c>
      <c r="G109" s="2" t="s">
        <v>6</v>
      </c>
      <c r="H109" s="43" t="s">
        <v>2</v>
      </c>
      <c r="I109" s="43" t="s">
        <v>3</v>
      </c>
      <c r="J109" s="43" t="s">
        <v>4</v>
      </c>
      <c r="K109" s="43" t="s">
        <v>9</v>
      </c>
      <c r="L109" s="43" t="s">
        <v>8</v>
      </c>
      <c r="M109" s="43" t="s">
        <v>25</v>
      </c>
      <c r="N109" s="43" t="s">
        <v>7</v>
      </c>
      <c r="O109" s="43" t="s">
        <v>89</v>
      </c>
      <c r="P109" s="25"/>
      <c r="Q109" s="43" t="s">
        <v>5</v>
      </c>
      <c r="R109" s="43" t="s">
        <v>91</v>
      </c>
      <c r="T109" s="43" t="s">
        <v>10</v>
      </c>
    </row>
    <row r="110" spans="1:58" ht="15" x14ac:dyDescent="0.25">
      <c r="B110" s="3">
        <v>2016</v>
      </c>
      <c r="C110" s="51">
        <f>Inputs_Summary!E$5*C34/1000000</f>
        <v>210.12155916232655</v>
      </c>
      <c r="D110" s="51">
        <f>Inputs_Summary!F$5*D34/1000000</f>
        <v>0</v>
      </c>
      <c r="E110" s="51">
        <f>Inputs_Summary!G$5*E34/1000000</f>
        <v>0.27748016944768411</v>
      </c>
      <c r="F110" s="51">
        <f>Inputs_Summary!H$5*F34/1000000</f>
        <v>1.1619560473070238</v>
      </c>
      <c r="G110" s="51">
        <f>Inputs_Summary!I$5*G34/1000000</f>
        <v>0</v>
      </c>
      <c r="H110" s="51">
        <f>Inputs_Summary!J$5*H34/1000000</f>
        <v>0</v>
      </c>
      <c r="I110" s="51">
        <f>Inputs_Summary!K$5*I34/1000000</f>
        <v>0</v>
      </c>
      <c r="J110" s="51">
        <f>Inputs_Summary!L$5*J34/1000000</f>
        <v>0</v>
      </c>
      <c r="K110" s="51">
        <f>Inputs_Summary!M$5*K34/1000000</f>
        <v>0</v>
      </c>
      <c r="L110" s="51">
        <f>Inputs_Summary!N$5*L34/1000000</f>
        <v>0</v>
      </c>
      <c r="M110" s="51">
        <f>Inputs_Summary!O$5*M34/1000000</f>
        <v>0</v>
      </c>
      <c r="N110" s="51">
        <f>Inputs_Summary!P$5*N34/1000000</f>
        <v>5.9887859519957903E-4</v>
      </c>
      <c r="O110" s="51">
        <f>Inputs_Summary!R$5*O34/1000000</f>
        <v>0</v>
      </c>
      <c r="P110" s="97"/>
      <c r="Q110" s="39">
        <f>G110+N110</f>
        <v>5.9887859519957903E-4</v>
      </c>
      <c r="R110" s="5">
        <f>SUM(K110:L110)</f>
        <v>0</v>
      </c>
      <c r="T110" s="5">
        <f>SUM(C110:O110)</f>
        <v>211.56159425767646</v>
      </c>
    </row>
    <row r="111" spans="1:58" ht="15" x14ac:dyDescent="0.25">
      <c r="B111" s="3">
        <v>2030</v>
      </c>
      <c r="C111" s="51">
        <f>Inputs_Summary!E$5*C35/1000000</f>
        <v>99.686487752996058</v>
      </c>
      <c r="D111" s="51">
        <f>Inputs_Summary!F$5*D35/1000000</f>
        <v>0</v>
      </c>
      <c r="E111" s="51">
        <f>Inputs_Summary!G$5*E35/1000000</f>
        <v>0.81604835823689037</v>
      </c>
      <c r="F111" s="51">
        <f>Inputs_Summary!H$5*F35/1000000</f>
        <v>8.5478734861990799E-2</v>
      </c>
      <c r="G111" s="51">
        <f>Inputs_Summary!I$5*G35/1000000</f>
        <v>0</v>
      </c>
      <c r="H111" s="51">
        <f>Inputs_Summary!J$5*H35/1000000</f>
        <v>0</v>
      </c>
      <c r="I111" s="51">
        <f>Inputs_Summary!K$5*I35/1000000</f>
        <v>0</v>
      </c>
      <c r="J111" s="51">
        <f>Inputs_Summary!L$5*J35/1000000</f>
        <v>0</v>
      </c>
      <c r="K111" s="51">
        <f>Inputs_Summary!M$5*K35/1000000</f>
        <v>0</v>
      </c>
      <c r="L111" s="51">
        <f>Inputs_Summary!N$5*L35/1000000</f>
        <v>0</v>
      </c>
      <c r="M111" s="51">
        <f>Inputs_Summary!O$5*M35/1000000</f>
        <v>0</v>
      </c>
      <c r="N111" s="51">
        <f>Inputs_Summary!P$5*N35/1000000</f>
        <v>5.1876383646136848E-4</v>
      </c>
      <c r="O111" s="51">
        <f>Inputs_Summary!R$5*O35/1000000</f>
        <v>0</v>
      </c>
      <c r="P111" s="97"/>
      <c r="Q111" s="39">
        <f>G111+N111</f>
        <v>5.1876383646136848E-4</v>
      </c>
      <c r="R111" s="5">
        <f>SUM(K111:L111)</f>
        <v>0</v>
      </c>
      <c r="T111" s="5">
        <f t="shared" ref="T111:T113" si="49">SUM(C111:O111)</f>
        <v>100.5885336099314</v>
      </c>
    </row>
    <row r="112" spans="1:58" ht="15" x14ac:dyDescent="0.25">
      <c r="B112" s="3">
        <v>2040</v>
      </c>
      <c r="C112" s="51">
        <f>Inputs_Summary!E$5*C36/1000000</f>
        <v>18.17917463950317</v>
      </c>
      <c r="D112" s="51">
        <f>Inputs_Summary!F$5*D36/1000000</f>
        <v>0</v>
      </c>
      <c r="E112" s="51">
        <f>Inputs_Summary!G$5*E36/1000000</f>
        <v>0.83294636390057897</v>
      </c>
      <c r="F112" s="51">
        <f>Inputs_Summary!H$5*F36/1000000</f>
        <v>4.7268114412568354E-2</v>
      </c>
      <c r="G112" s="51">
        <f>Inputs_Summary!I$5*G36/1000000</f>
        <v>0</v>
      </c>
      <c r="H112" s="51">
        <f>Inputs_Summary!J$5*H36/1000000</f>
        <v>0</v>
      </c>
      <c r="I112" s="51">
        <f>Inputs_Summary!K$5*I36/1000000</f>
        <v>0</v>
      </c>
      <c r="J112" s="51">
        <f>Inputs_Summary!L$5*J36/1000000</f>
        <v>0</v>
      </c>
      <c r="K112" s="51">
        <f>Inputs_Summary!M$5*K36/1000000</f>
        <v>0</v>
      </c>
      <c r="L112" s="51">
        <f>Inputs_Summary!N$5*L36/1000000</f>
        <v>0</v>
      </c>
      <c r="M112" s="51">
        <f>Inputs_Summary!O$5*M36/1000000</f>
        <v>0</v>
      </c>
      <c r="N112" s="51">
        <f>Inputs_Summary!P$5*N36/1000000</f>
        <v>5.3004399564361303E-4</v>
      </c>
      <c r="O112" s="51">
        <f>Inputs_Summary!R$5*O36/1000000</f>
        <v>0</v>
      </c>
      <c r="P112" s="97"/>
      <c r="Q112" s="39">
        <f>G112+N112</f>
        <v>5.3004399564361303E-4</v>
      </c>
      <c r="R112" s="5">
        <f>SUM(K112:L112)</f>
        <v>0</v>
      </c>
      <c r="T112" s="5">
        <f t="shared" si="49"/>
        <v>19.059919161811958</v>
      </c>
    </row>
    <row r="113" spans="2:20" ht="15" x14ac:dyDescent="0.25">
      <c r="B113" s="3">
        <v>2050</v>
      </c>
      <c r="C113" s="51">
        <f>Inputs_Summary!E$5*C37/1000000</f>
        <v>0</v>
      </c>
      <c r="D113" s="51">
        <f>Inputs_Summary!F$5*D37/1000000</f>
        <v>0</v>
      </c>
      <c r="E113" s="51">
        <f>Inputs_Summary!G$5*E37/1000000</f>
        <v>0.81829003855412841</v>
      </c>
      <c r="F113" s="51">
        <f>Inputs_Summary!H$5*F37/1000000</f>
        <v>0</v>
      </c>
      <c r="G113" s="51">
        <f>Inputs_Summary!I$5*G37/1000000</f>
        <v>0</v>
      </c>
      <c r="H113" s="51">
        <f>Inputs_Summary!J$5*H37/1000000</f>
        <v>0</v>
      </c>
      <c r="I113" s="51">
        <f>Inputs_Summary!K$5*I37/1000000</f>
        <v>0</v>
      </c>
      <c r="J113" s="51">
        <f>Inputs_Summary!L$5*J37/1000000</f>
        <v>0</v>
      </c>
      <c r="K113" s="51">
        <f>Inputs_Summary!M$5*K37/1000000</f>
        <v>0</v>
      </c>
      <c r="L113" s="51">
        <f>Inputs_Summary!N$5*L37/1000000</f>
        <v>0</v>
      </c>
      <c r="M113" s="51">
        <f>Inputs_Summary!O$5*M37/1000000</f>
        <v>0</v>
      </c>
      <c r="N113" s="51">
        <f>Inputs_Summary!P$5*N37/1000000</f>
        <v>4.746323813938436E-4</v>
      </c>
      <c r="O113" s="51">
        <f>Inputs_Summary!R$5*O37/1000000</f>
        <v>0</v>
      </c>
      <c r="P113" s="97"/>
      <c r="Q113" s="39">
        <f>G113+N113</f>
        <v>4.746323813938436E-4</v>
      </c>
      <c r="R113" s="5">
        <f>SUM(K113:L113)</f>
        <v>0</v>
      </c>
      <c r="T113" s="5">
        <f t="shared" si="49"/>
        <v>0.8187646709355223</v>
      </c>
    </row>
    <row r="114" spans="2:20" ht="15" x14ac:dyDescent="0.25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28"/>
      <c r="Q114" s="5"/>
      <c r="R114" s="5"/>
      <c r="S114" s="5"/>
      <c r="T114" s="5"/>
    </row>
    <row r="115" spans="2:20" ht="30" x14ac:dyDescent="0.25">
      <c r="B115" s="43" t="s">
        <v>41</v>
      </c>
      <c r="C115" s="43" t="s">
        <v>0</v>
      </c>
      <c r="D115" s="43" t="s">
        <v>1</v>
      </c>
      <c r="E115" s="43" t="s">
        <v>28</v>
      </c>
      <c r="F115" s="2" t="s">
        <v>29</v>
      </c>
      <c r="G115" s="2" t="s">
        <v>6</v>
      </c>
      <c r="H115" s="43" t="s">
        <v>2</v>
      </c>
      <c r="I115" s="43" t="s">
        <v>3</v>
      </c>
      <c r="J115" s="43" t="s">
        <v>4</v>
      </c>
      <c r="K115" s="43" t="s">
        <v>9</v>
      </c>
      <c r="L115" s="43" t="s">
        <v>8</v>
      </c>
      <c r="M115" s="43" t="s">
        <v>25</v>
      </c>
      <c r="N115" s="43" t="s">
        <v>7</v>
      </c>
      <c r="O115" s="43" t="s">
        <v>89</v>
      </c>
      <c r="P115" s="25"/>
      <c r="Q115" s="43" t="s">
        <v>5</v>
      </c>
      <c r="R115" s="43" t="s">
        <v>91</v>
      </c>
      <c r="T115" s="43" t="s">
        <v>10</v>
      </c>
    </row>
    <row r="116" spans="2:20" ht="15" x14ac:dyDescent="0.25">
      <c r="B116" s="3">
        <v>2016</v>
      </c>
      <c r="C116" s="51">
        <f>Inputs_Summary!E$8*C40/1000000</f>
        <v>0</v>
      </c>
      <c r="D116" s="51">
        <f>Inputs_Summary!F$8*D40/1000000</f>
        <v>0</v>
      </c>
      <c r="E116" s="51">
        <f>Inputs_Summary!G$8*E40/1000000</f>
        <v>0</v>
      </c>
      <c r="F116" s="51">
        <f>Inputs_Summary!H$8*F40/1000000</f>
        <v>0</v>
      </c>
      <c r="G116" s="51">
        <f>Inputs_Summary!I$8*G40/1000000</f>
        <v>0</v>
      </c>
      <c r="H116" s="51">
        <f>Inputs_Summary!J$8*H40/1000000</f>
        <v>0</v>
      </c>
      <c r="I116" s="51">
        <f>Inputs_Summary!K$8*I40/1000000</f>
        <v>0</v>
      </c>
      <c r="J116" s="51">
        <f>Inputs_Summary!L$8*J40/1000000</f>
        <v>0</v>
      </c>
      <c r="K116" s="51">
        <f>Inputs_Summary!M$8*K40/1000000</f>
        <v>0</v>
      </c>
      <c r="L116" s="51">
        <f>Inputs_Summary!N$8*L40/1000000</f>
        <v>0</v>
      </c>
      <c r="M116" s="51">
        <f>Inputs_Summary!O$8*M40/1000000</f>
        <v>0</v>
      </c>
      <c r="N116" s="51">
        <f>Inputs_Summary!P$8*N40/1000000</f>
        <v>0</v>
      </c>
      <c r="O116" s="51">
        <f>Inputs_Summary!R$8*O40/1000000</f>
        <v>0</v>
      </c>
      <c r="P116" s="97"/>
      <c r="Q116" s="39">
        <f>G116+N116</f>
        <v>0</v>
      </c>
      <c r="R116" s="5">
        <f>SUM(K116:L116)</f>
        <v>0</v>
      </c>
      <c r="T116" s="5">
        <f>SUM(C116:O116)</f>
        <v>0</v>
      </c>
    </row>
    <row r="117" spans="2:20" ht="15" x14ac:dyDescent="0.25">
      <c r="B117" s="3">
        <v>2030</v>
      </c>
      <c r="C117" s="51">
        <f>Inputs_Summary!E$8*C41/1000000</f>
        <v>33.525045010598532</v>
      </c>
      <c r="D117" s="51">
        <f>Inputs_Summary!F$8*D41/1000000</f>
        <v>0</v>
      </c>
      <c r="E117" s="51">
        <f>Inputs_Summary!G$8*E41/1000000</f>
        <v>0</v>
      </c>
      <c r="F117" s="51">
        <f>Inputs_Summary!H$8*F41/1000000</f>
        <v>0</v>
      </c>
      <c r="G117" s="51">
        <f>Inputs_Summary!I$8*G41/1000000</f>
        <v>0</v>
      </c>
      <c r="H117" s="51">
        <f>Inputs_Summary!J$8*H41/1000000</f>
        <v>0</v>
      </c>
      <c r="I117" s="51">
        <f>Inputs_Summary!K$8*I41/1000000</f>
        <v>0</v>
      </c>
      <c r="J117" s="51">
        <f>Inputs_Summary!L$8*J41/1000000</f>
        <v>0</v>
      </c>
      <c r="K117" s="51">
        <f>Inputs_Summary!M$8*K41/1000000</f>
        <v>0</v>
      </c>
      <c r="L117" s="51">
        <f>Inputs_Summary!N$8*L41/1000000</f>
        <v>0</v>
      </c>
      <c r="M117" s="51">
        <f>Inputs_Summary!O$8*M41/1000000</f>
        <v>0</v>
      </c>
      <c r="N117" s="51">
        <f>Inputs_Summary!P$8*N41/1000000</f>
        <v>6.4136590713116106E-4</v>
      </c>
      <c r="O117" s="51">
        <f>Inputs_Summary!R$8*O41/1000000</f>
        <v>0</v>
      </c>
      <c r="P117" s="97"/>
      <c r="Q117" s="39">
        <f>G117+N117</f>
        <v>6.4136590713116106E-4</v>
      </c>
      <c r="R117" s="5">
        <f>SUM(K117:L117)</f>
        <v>0</v>
      </c>
      <c r="T117" s="5">
        <f t="shared" ref="T117:T119" si="50">SUM(C117:O117)</f>
        <v>33.525686376505661</v>
      </c>
    </row>
    <row r="118" spans="2:20" ht="15" x14ac:dyDescent="0.25">
      <c r="B118" s="3">
        <v>2040</v>
      </c>
      <c r="C118" s="51">
        <f>Inputs_Summary!E$8*C42/1000000</f>
        <v>32.414148835397931</v>
      </c>
      <c r="D118" s="51">
        <f>Inputs_Summary!F$8*D42/1000000</f>
        <v>0</v>
      </c>
      <c r="E118" s="51">
        <f>Inputs_Summary!G$8*E42/1000000</f>
        <v>0</v>
      </c>
      <c r="F118" s="51">
        <f>Inputs_Summary!H$8*F42/1000000</f>
        <v>0</v>
      </c>
      <c r="G118" s="51">
        <f>Inputs_Summary!I$8*G42/1000000</f>
        <v>0</v>
      </c>
      <c r="H118" s="51">
        <f>Inputs_Summary!J$8*H42/1000000</f>
        <v>0</v>
      </c>
      <c r="I118" s="51">
        <f>Inputs_Summary!K$8*I42/1000000</f>
        <v>0</v>
      </c>
      <c r="J118" s="51">
        <f>Inputs_Summary!L$8*J42/1000000</f>
        <v>0</v>
      </c>
      <c r="K118" s="51">
        <f>Inputs_Summary!M$8*K42/1000000</f>
        <v>0</v>
      </c>
      <c r="L118" s="51">
        <f>Inputs_Summary!N$8*L42/1000000</f>
        <v>0</v>
      </c>
      <c r="M118" s="51">
        <f>Inputs_Summary!O$8*M42/1000000</f>
        <v>0</v>
      </c>
      <c r="N118" s="51">
        <f>Inputs_Summary!P$8*N42/1000000</f>
        <v>6.3990912092480156E-4</v>
      </c>
      <c r="O118" s="51">
        <f>Inputs_Summary!R$8*O42/1000000</f>
        <v>0</v>
      </c>
      <c r="P118" s="97"/>
      <c r="Q118" s="39">
        <f>G118+N118</f>
        <v>6.3990912092480156E-4</v>
      </c>
      <c r="R118" s="5">
        <f>SUM(K118:L118)</f>
        <v>0</v>
      </c>
      <c r="T118" s="5">
        <f t="shared" si="50"/>
        <v>32.414788744518859</v>
      </c>
    </row>
    <row r="119" spans="2:20" ht="15" x14ac:dyDescent="0.25">
      <c r="B119" s="3">
        <v>2050</v>
      </c>
      <c r="C119" s="51">
        <f>Inputs_Summary!E$8*C43/1000000</f>
        <v>0</v>
      </c>
      <c r="D119" s="51">
        <f>Inputs_Summary!F$8*D43/1000000</f>
        <v>0</v>
      </c>
      <c r="E119" s="51">
        <f>Inputs_Summary!G$8*E43/1000000</f>
        <v>0</v>
      </c>
      <c r="F119" s="51">
        <f>Inputs_Summary!H$8*F43/1000000</f>
        <v>0</v>
      </c>
      <c r="G119" s="51">
        <f>Inputs_Summary!I$8*G43/1000000</f>
        <v>0</v>
      </c>
      <c r="H119" s="51">
        <f>Inputs_Summary!J$8*H43/1000000</f>
        <v>0</v>
      </c>
      <c r="I119" s="51">
        <f>Inputs_Summary!K$8*I43/1000000</f>
        <v>0</v>
      </c>
      <c r="J119" s="51">
        <f>Inputs_Summary!L$8*J43/1000000</f>
        <v>0</v>
      </c>
      <c r="K119" s="51">
        <f>Inputs_Summary!M$8*K43/1000000</f>
        <v>0</v>
      </c>
      <c r="L119" s="51">
        <f>Inputs_Summary!N$8*L43/1000000</f>
        <v>0</v>
      </c>
      <c r="M119" s="51">
        <f>Inputs_Summary!O$8*M43/1000000</f>
        <v>0</v>
      </c>
      <c r="N119" s="51">
        <f>Inputs_Summary!P$8*N43/1000000</f>
        <v>5.6988450596173333E-4</v>
      </c>
      <c r="O119" s="51">
        <f>Inputs_Summary!R$8*O43/1000000</f>
        <v>0</v>
      </c>
      <c r="P119" s="97"/>
      <c r="Q119" s="39">
        <f>G119+N119</f>
        <v>5.6988450596173333E-4</v>
      </c>
      <c r="R119" s="5">
        <f>SUM(K119:L119)</f>
        <v>0</v>
      </c>
      <c r="T119" s="5">
        <f t="shared" si="50"/>
        <v>5.6988450596173333E-4</v>
      </c>
    </row>
    <row r="120" spans="2:20" ht="15" x14ac:dyDescent="0.25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28"/>
      <c r="Q120" s="5"/>
      <c r="R120" s="5"/>
      <c r="S120" s="5"/>
      <c r="T120" s="5"/>
    </row>
    <row r="121" spans="2:20" ht="30" x14ac:dyDescent="0.25">
      <c r="B121" s="43" t="s">
        <v>42</v>
      </c>
      <c r="C121" s="43" t="s">
        <v>0</v>
      </c>
      <c r="D121" s="43" t="s">
        <v>1</v>
      </c>
      <c r="E121" s="43" t="s">
        <v>28</v>
      </c>
      <c r="F121" s="2" t="s">
        <v>29</v>
      </c>
      <c r="G121" s="2" t="s">
        <v>6</v>
      </c>
      <c r="H121" s="43" t="s">
        <v>2</v>
      </c>
      <c r="I121" s="43" t="s">
        <v>3</v>
      </c>
      <c r="J121" s="43" t="s">
        <v>4</v>
      </c>
      <c r="K121" s="43" t="s">
        <v>9</v>
      </c>
      <c r="L121" s="43" t="s">
        <v>8</v>
      </c>
      <c r="M121" s="43" t="s">
        <v>25</v>
      </c>
      <c r="N121" s="43" t="s">
        <v>7</v>
      </c>
      <c r="O121" s="43" t="s">
        <v>89</v>
      </c>
      <c r="P121" s="25"/>
      <c r="Q121" s="43" t="s">
        <v>5</v>
      </c>
      <c r="R121" s="43" t="s">
        <v>91</v>
      </c>
      <c r="T121" s="43" t="s">
        <v>10</v>
      </c>
    </row>
    <row r="122" spans="2:20" ht="15" x14ac:dyDescent="0.25">
      <c r="B122" s="3">
        <v>2016</v>
      </c>
      <c r="C122" s="51">
        <f>Inputs_Summary!E$11*C46/1000000</f>
        <v>0</v>
      </c>
      <c r="D122" s="51">
        <f>Inputs_Summary!F$11*D46/1000000</f>
        <v>0</v>
      </c>
      <c r="E122" s="51">
        <f>Inputs_Summary!G$11*E46/1000000</f>
        <v>0</v>
      </c>
      <c r="F122" s="51">
        <f>Inputs_Summary!H$11*F46/1000000</f>
        <v>0</v>
      </c>
      <c r="G122" s="51">
        <f>Inputs_Summary!I$11*G46/1000000</f>
        <v>0</v>
      </c>
      <c r="H122" s="51">
        <f>Inputs_Summary!J$11*H46/1000000</f>
        <v>0</v>
      </c>
      <c r="I122" s="51">
        <f>Inputs_Summary!K$11*I46/1000000</f>
        <v>0</v>
      </c>
      <c r="J122" s="51">
        <f>Inputs_Summary!L$11*J46/1000000</f>
        <v>0</v>
      </c>
      <c r="K122" s="51">
        <f>Inputs_Summary!M$11*K46/1000000</f>
        <v>0</v>
      </c>
      <c r="L122" s="51">
        <f>Inputs_Summary!N$11*L46/1000000</f>
        <v>0</v>
      </c>
      <c r="M122" s="51">
        <f>Inputs_Summary!O$11*M46/1000000</f>
        <v>0</v>
      </c>
      <c r="N122" s="51">
        <f>Inputs_Summary!P$11*N46/1000000</f>
        <v>0</v>
      </c>
      <c r="O122" s="51">
        <f>Inputs_Summary!R$11*O46/1000000</f>
        <v>0</v>
      </c>
      <c r="P122" s="97"/>
      <c r="Q122" s="39">
        <f>G122+N122</f>
        <v>0</v>
      </c>
      <c r="R122" s="5">
        <f>SUM(K122:L122)</f>
        <v>0</v>
      </c>
      <c r="T122" s="5">
        <f>SUM(C122:O122)</f>
        <v>0</v>
      </c>
    </row>
    <row r="123" spans="2:20" ht="15" x14ac:dyDescent="0.25">
      <c r="B123" s="3">
        <v>2030</v>
      </c>
      <c r="C123" s="51">
        <f>Inputs_Summary!E$11*C47/1000000</f>
        <v>0</v>
      </c>
      <c r="D123" s="51">
        <f>Inputs_Summary!F$11*D47/1000000</f>
        <v>0</v>
      </c>
      <c r="E123" s="51">
        <f>Inputs_Summary!G$11*E47/1000000</f>
        <v>4.4381051996589784</v>
      </c>
      <c r="F123" s="51">
        <f>Inputs_Summary!H$11*F47/1000000</f>
        <v>2.7979648897633842</v>
      </c>
      <c r="G123" s="51">
        <f>Inputs_Summary!I$11*G47/1000000</f>
        <v>0</v>
      </c>
      <c r="H123" s="51">
        <f>Inputs_Summary!J$11*H47/1000000</f>
        <v>0</v>
      </c>
      <c r="I123" s="51">
        <f>Inputs_Summary!K$11*I47/1000000</f>
        <v>0</v>
      </c>
      <c r="J123" s="51">
        <f>Inputs_Summary!L$11*J47/1000000</f>
        <v>0</v>
      </c>
      <c r="K123" s="51">
        <f>Inputs_Summary!M$11*K47/1000000</f>
        <v>0</v>
      </c>
      <c r="L123" s="51">
        <f>Inputs_Summary!N$11*L47/1000000</f>
        <v>0</v>
      </c>
      <c r="M123" s="51">
        <f>Inputs_Summary!O$11*M47/1000000</f>
        <v>0</v>
      </c>
      <c r="N123" s="51">
        <f>Inputs_Summary!P$11*N47/1000000</f>
        <v>1.6707337084618983E-4</v>
      </c>
      <c r="O123" s="51">
        <f>Inputs_Summary!R$11*O47/1000000</f>
        <v>0</v>
      </c>
      <c r="P123" s="97"/>
      <c r="Q123" s="39">
        <f>G123+N123</f>
        <v>1.6707337084618983E-4</v>
      </c>
      <c r="R123" s="5">
        <f>SUM(K123:L123)</f>
        <v>0</v>
      </c>
      <c r="T123" s="5">
        <f t="shared" ref="T123:T125" si="51">SUM(C123:O123)</f>
        <v>7.2362371627932092</v>
      </c>
    </row>
    <row r="124" spans="2:20" ht="15" x14ac:dyDescent="0.25">
      <c r="B124" s="3">
        <v>2040</v>
      </c>
      <c r="C124" s="51">
        <f>Inputs_Summary!E$11*C48/1000000</f>
        <v>0</v>
      </c>
      <c r="D124" s="51">
        <f>Inputs_Summary!F$11*D48/1000000</f>
        <v>0</v>
      </c>
      <c r="E124" s="51">
        <f>Inputs_Summary!G$11*E48/1000000</f>
        <v>14.32114905401982</v>
      </c>
      <c r="F124" s="51">
        <f>Inputs_Summary!H$11*F48/1000000</f>
        <v>5.7776623263069835</v>
      </c>
      <c r="G124" s="51">
        <f>Inputs_Summary!I$11*G48/1000000</f>
        <v>0</v>
      </c>
      <c r="H124" s="51">
        <f>Inputs_Summary!J$11*H48/1000000</f>
        <v>0</v>
      </c>
      <c r="I124" s="51">
        <f>Inputs_Summary!K$11*I48/1000000</f>
        <v>0</v>
      </c>
      <c r="J124" s="51">
        <f>Inputs_Summary!L$11*J48/1000000</f>
        <v>0</v>
      </c>
      <c r="K124" s="51">
        <f>Inputs_Summary!M$11*K48/1000000</f>
        <v>0</v>
      </c>
      <c r="L124" s="51">
        <f>Inputs_Summary!N$11*L48/1000000</f>
        <v>0</v>
      </c>
      <c r="M124" s="51">
        <f>Inputs_Summary!O$11*M48/1000000</f>
        <v>0</v>
      </c>
      <c r="N124" s="51">
        <f>Inputs_Summary!P$11*N48/1000000</f>
        <v>1.7253042525875849E-4</v>
      </c>
      <c r="O124" s="51">
        <f>Inputs_Summary!R$11*O48/1000000</f>
        <v>0</v>
      </c>
      <c r="P124" s="97"/>
      <c r="Q124" s="39">
        <f>G124+N124</f>
        <v>1.7253042525875849E-4</v>
      </c>
      <c r="R124" s="5">
        <f>SUM(K124:L124)</f>
        <v>0</v>
      </c>
      <c r="T124" s="5">
        <f t="shared" si="51"/>
        <v>20.098983910752064</v>
      </c>
    </row>
    <row r="125" spans="2:20" ht="15" x14ac:dyDescent="0.25">
      <c r="B125" s="3">
        <v>2050</v>
      </c>
      <c r="C125" s="51">
        <f>Inputs_Summary!E$11*C49/1000000</f>
        <v>0</v>
      </c>
      <c r="D125" s="51">
        <f>Inputs_Summary!F$11*D49/1000000</f>
        <v>0</v>
      </c>
      <c r="E125" s="51">
        <f>Inputs_Summary!G$11*E49/1000000</f>
        <v>9.9853046420735616</v>
      </c>
      <c r="F125" s="51">
        <f>Inputs_Summary!H$11*F49/1000000</f>
        <v>2.1799792006554184</v>
      </c>
      <c r="G125" s="51">
        <f>Inputs_Summary!I$11*G49/1000000</f>
        <v>0</v>
      </c>
      <c r="H125" s="51">
        <f>Inputs_Summary!J$11*H49/1000000</f>
        <v>0</v>
      </c>
      <c r="I125" s="51">
        <f>Inputs_Summary!K$11*I49/1000000</f>
        <v>0</v>
      </c>
      <c r="J125" s="51">
        <f>Inputs_Summary!L$11*J49/1000000</f>
        <v>0</v>
      </c>
      <c r="K125" s="51">
        <f>Inputs_Summary!M$11*K49/1000000</f>
        <v>0</v>
      </c>
      <c r="L125" s="51">
        <f>Inputs_Summary!N$11*L49/1000000</f>
        <v>0</v>
      </c>
      <c r="M125" s="51">
        <f>Inputs_Summary!O$11*M49/1000000</f>
        <v>0</v>
      </c>
      <c r="N125" s="51">
        <f>Inputs_Summary!P$11*N49/1000000</f>
        <v>5.7476923029854817E-4</v>
      </c>
      <c r="O125" s="51">
        <f>Inputs_Summary!R$11*O49/1000000</f>
        <v>0</v>
      </c>
      <c r="P125" s="97"/>
      <c r="Q125" s="39">
        <f>G125+N125</f>
        <v>5.7476923029854817E-4</v>
      </c>
      <c r="R125" s="5">
        <f>SUM(K125:L125)</f>
        <v>0</v>
      </c>
      <c r="T125" s="5">
        <f t="shared" si="51"/>
        <v>12.16585861195928</v>
      </c>
    </row>
    <row r="126" spans="2:20" ht="15" x14ac:dyDescent="0.25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28"/>
    </row>
    <row r="127" spans="2:20" ht="30" x14ac:dyDescent="0.25">
      <c r="B127" s="43" t="s">
        <v>24</v>
      </c>
      <c r="C127" s="43" t="s">
        <v>0</v>
      </c>
      <c r="D127" s="43" t="s">
        <v>1</v>
      </c>
      <c r="E127" s="43" t="s">
        <v>28</v>
      </c>
      <c r="F127" s="2" t="s">
        <v>29</v>
      </c>
      <c r="G127" s="2" t="s">
        <v>6</v>
      </c>
      <c r="H127" s="43" t="s">
        <v>2</v>
      </c>
      <c r="I127" s="43" t="s">
        <v>3</v>
      </c>
      <c r="J127" s="43" t="s">
        <v>4</v>
      </c>
      <c r="K127" s="43" t="s">
        <v>9</v>
      </c>
      <c r="L127" s="43" t="s">
        <v>8</v>
      </c>
      <c r="M127" s="43" t="s">
        <v>25</v>
      </c>
      <c r="N127" s="43" t="s">
        <v>7</v>
      </c>
      <c r="O127" s="43" t="s">
        <v>89</v>
      </c>
      <c r="P127" s="25"/>
      <c r="Q127" s="43" t="s">
        <v>5</v>
      </c>
      <c r="R127" s="43" t="s">
        <v>91</v>
      </c>
      <c r="T127" s="43" t="s">
        <v>10</v>
      </c>
    </row>
    <row r="128" spans="2:20" ht="15" x14ac:dyDescent="0.25">
      <c r="B128" s="3">
        <v>2016</v>
      </c>
      <c r="C128" s="51">
        <f t="shared" ref="C128:O131" si="52">C110+C116+C122</f>
        <v>210.12155916232655</v>
      </c>
      <c r="D128" s="51">
        <f t="shared" si="52"/>
        <v>0</v>
      </c>
      <c r="E128" s="51">
        <f t="shared" si="52"/>
        <v>0.27748016944768411</v>
      </c>
      <c r="F128" s="51">
        <f t="shared" si="52"/>
        <v>1.1619560473070238</v>
      </c>
      <c r="G128" s="51">
        <f t="shared" si="52"/>
        <v>0</v>
      </c>
      <c r="H128" s="51">
        <f t="shared" si="52"/>
        <v>0</v>
      </c>
      <c r="I128" s="51">
        <f t="shared" si="52"/>
        <v>0</v>
      </c>
      <c r="J128" s="51">
        <f t="shared" si="52"/>
        <v>0</v>
      </c>
      <c r="K128" s="51">
        <f t="shared" si="52"/>
        <v>0</v>
      </c>
      <c r="L128" s="51">
        <f t="shared" si="52"/>
        <v>0</v>
      </c>
      <c r="M128" s="51">
        <f t="shared" si="52"/>
        <v>0</v>
      </c>
      <c r="N128" s="51">
        <f t="shared" si="52"/>
        <v>5.9887859519957903E-4</v>
      </c>
      <c r="O128" s="51">
        <f t="shared" si="52"/>
        <v>0</v>
      </c>
      <c r="P128" s="97"/>
      <c r="Q128" s="39">
        <f>G128+N128</f>
        <v>5.9887859519957903E-4</v>
      </c>
      <c r="R128" s="5">
        <f>SUM(K128:L128)</f>
        <v>0</v>
      </c>
      <c r="T128" s="5">
        <f>SUM(C128:O128)</f>
        <v>211.56159425767646</v>
      </c>
    </row>
    <row r="129" spans="2:20" ht="15" x14ac:dyDescent="0.25">
      <c r="B129" s="3">
        <v>2030</v>
      </c>
      <c r="C129" s="51">
        <f t="shared" ref="C129:N129" si="53">C111+C117+C123</f>
        <v>133.21153276359459</v>
      </c>
      <c r="D129" s="51">
        <f t="shared" si="53"/>
        <v>0</v>
      </c>
      <c r="E129" s="51">
        <f t="shared" si="53"/>
        <v>5.2541535578958687</v>
      </c>
      <c r="F129" s="51">
        <f t="shared" si="53"/>
        <v>2.8834436246253752</v>
      </c>
      <c r="G129" s="51">
        <f t="shared" si="53"/>
        <v>0</v>
      </c>
      <c r="H129" s="51">
        <f t="shared" si="53"/>
        <v>0</v>
      </c>
      <c r="I129" s="51">
        <f t="shared" si="53"/>
        <v>0</v>
      </c>
      <c r="J129" s="51">
        <f t="shared" si="53"/>
        <v>0</v>
      </c>
      <c r="K129" s="51">
        <f t="shared" si="53"/>
        <v>0</v>
      </c>
      <c r="L129" s="51">
        <f t="shared" si="53"/>
        <v>0</v>
      </c>
      <c r="M129" s="51">
        <f t="shared" si="53"/>
        <v>0</v>
      </c>
      <c r="N129" s="51">
        <f t="shared" si="53"/>
        <v>1.3272031144387195E-3</v>
      </c>
      <c r="O129" s="51">
        <f t="shared" si="52"/>
        <v>0</v>
      </c>
      <c r="P129" s="97"/>
      <c r="Q129" s="39">
        <f>G129+N129</f>
        <v>1.3272031144387195E-3</v>
      </c>
      <c r="R129" s="5">
        <f>SUM(K129:L129)</f>
        <v>0</v>
      </c>
      <c r="T129" s="5">
        <f t="shared" ref="T129:T131" si="54">SUM(C129:O129)</f>
        <v>141.35045714923029</v>
      </c>
    </row>
    <row r="130" spans="2:20" ht="15" x14ac:dyDescent="0.25">
      <c r="B130" s="3">
        <v>2040</v>
      </c>
      <c r="C130" s="51">
        <f t="shared" ref="C130:N130" si="55">C112+C118+C124</f>
        <v>50.593323474901098</v>
      </c>
      <c r="D130" s="51">
        <f t="shared" si="55"/>
        <v>0</v>
      </c>
      <c r="E130" s="51">
        <f t="shared" si="55"/>
        <v>15.154095417920399</v>
      </c>
      <c r="F130" s="51">
        <f t="shared" si="55"/>
        <v>5.8249304407195517</v>
      </c>
      <c r="G130" s="51">
        <f t="shared" si="55"/>
        <v>0</v>
      </c>
      <c r="H130" s="51">
        <f t="shared" si="55"/>
        <v>0</v>
      </c>
      <c r="I130" s="51">
        <f t="shared" si="55"/>
        <v>0</v>
      </c>
      <c r="J130" s="51">
        <f t="shared" si="55"/>
        <v>0</v>
      </c>
      <c r="K130" s="51">
        <f t="shared" si="55"/>
        <v>0</v>
      </c>
      <c r="L130" s="51">
        <f t="shared" si="55"/>
        <v>0</v>
      </c>
      <c r="M130" s="51">
        <f t="shared" si="55"/>
        <v>0</v>
      </c>
      <c r="N130" s="51">
        <f t="shared" si="55"/>
        <v>1.3424835418271732E-3</v>
      </c>
      <c r="O130" s="51">
        <f t="shared" si="52"/>
        <v>0</v>
      </c>
      <c r="P130" s="97"/>
      <c r="Q130" s="39">
        <f>G130+N130</f>
        <v>1.3424835418271732E-3</v>
      </c>
      <c r="R130" s="5">
        <f>SUM(K130:L130)</f>
        <v>0</v>
      </c>
      <c r="T130" s="5">
        <f t="shared" si="54"/>
        <v>71.573691817082889</v>
      </c>
    </row>
    <row r="131" spans="2:20" ht="15" x14ac:dyDescent="0.25">
      <c r="B131" s="3">
        <v>2050</v>
      </c>
      <c r="C131" s="51">
        <f t="shared" ref="C131:N131" si="56">C113+C119+C125</f>
        <v>0</v>
      </c>
      <c r="D131" s="51">
        <f t="shared" si="56"/>
        <v>0</v>
      </c>
      <c r="E131" s="51">
        <f t="shared" si="56"/>
        <v>10.80359468062769</v>
      </c>
      <c r="F131" s="51">
        <f t="shared" si="56"/>
        <v>2.1799792006554184</v>
      </c>
      <c r="G131" s="51">
        <f t="shared" si="56"/>
        <v>0</v>
      </c>
      <c r="H131" s="51">
        <f t="shared" si="56"/>
        <v>0</v>
      </c>
      <c r="I131" s="51">
        <f t="shared" si="56"/>
        <v>0</v>
      </c>
      <c r="J131" s="51">
        <f t="shared" si="56"/>
        <v>0</v>
      </c>
      <c r="K131" s="51">
        <f t="shared" si="56"/>
        <v>0</v>
      </c>
      <c r="L131" s="51">
        <f t="shared" si="56"/>
        <v>0</v>
      </c>
      <c r="M131" s="51">
        <f t="shared" si="56"/>
        <v>0</v>
      </c>
      <c r="N131" s="51">
        <f t="shared" si="56"/>
        <v>1.6192861176541251E-3</v>
      </c>
      <c r="O131" s="51">
        <f t="shared" si="52"/>
        <v>0</v>
      </c>
      <c r="P131" s="97"/>
      <c r="Q131" s="39">
        <f>G131+N131</f>
        <v>1.6192861176541251E-3</v>
      </c>
      <c r="R131" s="5">
        <f>SUM(K131:L131)</f>
        <v>0</v>
      </c>
      <c r="T131" s="5">
        <f t="shared" si="54"/>
        <v>12.985193167400762</v>
      </c>
    </row>
    <row r="132" spans="2:20" ht="15" x14ac:dyDescent="0.25"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28"/>
    </row>
    <row r="133" spans="2:20" ht="15" x14ac:dyDescent="0.25">
      <c r="B133" s="3">
        <v>2016</v>
      </c>
      <c r="C133" s="23">
        <f t="shared" ref="C133:O136" si="57">IFERROR(C128/$T128,0)</f>
        <v>0.99319330571126252</v>
      </c>
      <c r="D133" s="23">
        <f t="shared" si="57"/>
        <v>0</v>
      </c>
      <c r="E133" s="23">
        <f t="shared" si="57"/>
        <v>1.3115810098770599E-3</v>
      </c>
      <c r="F133" s="23">
        <f t="shared" si="57"/>
        <v>5.4922825259663714E-3</v>
      </c>
      <c r="G133" s="23">
        <f t="shared" si="57"/>
        <v>0</v>
      </c>
      <c r="H133" s="23">
        <f t="shared" si="57"/>
        <v>0</v>
      </c>
      <c r="I133" s="23">
        <f t="shared" si="57"/>
        <v>0</v>
      </c>
      <c r="J133" s="23">
        <f t="shared" si="57"/>
        <v>0</v>
      </c>
      <c r="K133" s="23">
        <f t="shared" si="57"/>
        <v>0</v>
      </c>
      <c r="L133" s="23">
        <f t="shared" si="57"/>
        <v>0</v>
      </c>
      <c r="M133" s="23">
        <f t="shared" si="57"/>
        <v>0</v>
      </c>
      <c r="N133" s="23">
        <f t="shared" si="57"/>
        <v>2.8307528939782927E-6</v>
      </c>
      <c r="O133" s="23">
        <f t="shared" si="57"/>
        <v>0</v>
      </c>
      <c r="P133" s="26"/>
      <c r="Q133" s="7">
        <f t="shared" ref="Q133:R136" si="58">Q128/$T128</f>
        <v>2.8307528939782927E-6</v>
      </c>
      <c r="R133" s="7">
        <f t="shared" si="58"/>
        <v>0</v>
      </c>
      <c r="T133" s="8">
        <f>SUM(C133:O133)</f>
        <v>0.99999999999999989</v>
      </c>
    </row>
    <row r="134" spans="2:20" ht="15" x14ac:dyDescent="0.25">
      <c r="B134" s="3">
        <v>2030</v>
      </c>
      <c r="C134" s="23">
        <f t="shared" si="57"/>
        <v>0.94242024716592843</v>
      </c>
      <c r="D134" s="23">
        <f t="shared" si="57"/>
        <v>0</v>
      </c>
      <c r="E134" s="23">
        <f t="shared" si="57"/>
        <v>3.7171111178995429E-2</v>
      </c>
      <c r="F134" s="23">
        <f t="shared" si="57"/>
        <v>2.0399252204619252E-2</v>
      </c>
      <c r="G134" s="23">
        <f t="shared" si="57"/>
        <v>0</v>
      </c>
      <c r="H134" s="23">
        <f t="shared" si="57"/>
        <v>0</v>
      </c>
      <c r="I134" s="23">
        <f t="shared" si="57"/>
        <v>0</v>
      </c>
      <c r="J134" s="23">
        <f t="shared" si="57"/>
        <v>0</v>
      </c>
      <c r="K134" s="23">
        <f t="shared" si="57"/>
        <v>0</v>
      </c>
      <c r="L134" s="23">
        <f t="shared" si="57"/>
        <v>0</v>
      </c>
      <c r="M134" s="23">
        <f t="shared" si="57"/>
        <v>0</v>
      </c>
      <c r="N134" s="23">
        <f t="shared" si="57"/>
        <v>9.3894504567291847E-6</v>
      </c>
      <c r="O134" s="23">
        <f t="shared" si="57"/>
        <v>0</v>
      </c>
      <c r="P134" s="26"/>
      <c r="Q134" s="7">
        <f t="shared" si="58"/>
        <v>9.3894504567291847E-6</v>
      </c>
      <c r="R134" s="7">
        <f t="shared" si="58"/>
        <v>0</v>
      </c>
      <c r="T134" s="8">
        <f t="shared" ref="T134:T136" si="59">SUM(C134:O134)</f>
        <v>0.99999999999999978</v>
      </c>
    </row>
    <row r="135" spans="2:20" ht="15" x14ac:dyDescent="0.25">
      <c r="B135" s="3">
        <v>2040</v>
      </c>
      <c r="C135" s="23">
        <f t="shared" si="57"/>
        <v>0.7068703903691288</v>
      </c>
      <c r="D135" s="23">
        <f t="shared" si="57"/>
        <v>0</v>
      </c>
      <c r="E135" s="23">
        <f t="shared" si="57"/>
        <v>0.21172717283675854</v>
      </c>
      <c r="F135" s="23">
        <f t="shared" si="57"/>
        <v>8.1383680132163919E-2</v>
      </c>
      <c r="G135" s="23">
        <f t="shared" si="57"/>
        <v>0</v>
      </c>
      <c r="H135" s="23">
        <f t="shared" si="57"/>
        <v>0</v>
      </c>
      <c r="I135" s="23">
        <f t="shared" si="57"/>
        <v>0</v>
      </c>
      <c r="J135" s="23">
        <f t="shared" si="57"/>
        <v>0</v>
      </c>
      <c r="K135" s="23">
        <f t="shared" si="57"/>
        <v>0</v>
      </c>
      <c r="L135" s="23">
        <f t="shared" si="57"/>
        <v>0</v>
      </c>
      <c r="M135" s="23">
        <f t="shared" si="57"/>
        <v>0</v>
      </c>
      <c r="N135" s="23">
        <f t="shared" si="57"/>
        <v>1.8756661948612174E-5</v>
      </c>
      <c r="O135" s="23">
        <f t="shared" si="57"/>
        <v>0</v>
      </c>
      <c r="P135" s="26"/>
      <c r="Q135" s="7">
        <f t="shared" si="58"/>
        <v>1.8756661948612174E-5</v>
      </c>
      <c r="R135" s="7">
        <f t="shared" si="58"/>
        <v>0</v>
      </c>
      <c r="T135" s="8">
        <f t="shared" si="59"/>
        <v>0.99999999999999989</v>
      </c>
    </row>
    <row r="136" spans="2:20" ht="15" x14ac:dyDescent="0.25">
      <c r="B136" s="3">
        <v>2050</v>
      </c>
      <c r="C136" s="23">
        <f t="shared" si="57"/>
        <v>0</v>
      </c>
      <c r="D136" s="23">
        <f t="shared" si="57"/>
        <v>0</v>
      </c>
      <c r="E136" s="23">
        <f t="shared" si="57"/>
        <v>0.83199337440355059</v>
      </c>
      <c r="F136" s="23">
        <f t="shared" si="57"/>
        <v>0.16788192309131303</v>
      </c>
      <c r="G136" s="23">
        <f t="shared" si="57"/>
        <v>0</v>
      </c>
      <c r="H136" s="23">
        <f t="shared" si="57"/>
        <v>0</v>
      </c>
      <c r="I136" s="23">
        <f t="shared" si="57"/>
        <v>0</v>
      </c>
      <c r="J136" s="23">
        <f t="shared" si="57"/>
        <v>0</v>
      </c>
      <c r="K136" s="23">
        <f t="shared" si="57"/>
        <v>0</v>
      </c>
      <c r="L136" s="23">
        <f t="shared" si="57"/>
        <v>0</v>
      </c>
      <c r="M136" s="23">
        <f t="shared" si="57"/>
        <v>0</v>
      </c>
      <c r="N136" s="23">
        <f t="shared" si="57"/>
        <v>1.2470250513633727E-4</v>
      </c>
      <c r="O136" s="23">
        <f t="shared" si="57"/>
        <v>0</v>
      </c>
      <c r="P136" s="26"/>
      <c r="Q136" s="7">
        <f t="shared" si="58"/>
        <v>1.2470250513633727E-4</v>
      </c>
      <c r="R136" s="7">
        <f t="shared" si="58"/>
        <v>0</v>
      </c>
      <c r="T136" s="8">
        <f t="shared" si="59"/>
        <v>0.99999999999999989</v>
      </c>
    </row>
    <row r="137" spans="2:20" s="11" customFormat="1" ht="15" x14ac:dyDescent="0.25">
      <c r="C137" s="12"/>
      <c r="D137" s="12"/>
      <c r="E137" s="14"/>
      <c r="F137" s="14"/>
      <c r="G137" s="14"/>
      <c r="H137" s="16"/>
      <c r="I137" s="14"/>
      <c r="J137" s="14"/>
      <c r="K137" s="16"/>
      <c r="L137" s="14"/>
      <c r="M137" s="16"/>
      <c r="N137" s="20"/>
      <c r="O137" s="20"/>
      <c r="P137" s="20"/>
    </row>
    <row r="138" spans="2:20" s="9" customFormat="1" ht="21" x14ac:dyDescent="0.35">
      <c r="B138" s="10" t="s">
        <v>44</v>
      </c>
    </row>
    <row r="139" spans="2:20" s="32" customFormat="1" ht="21" x14ac:dyDescent="0.35">
      <c r="B139" s="31"/>
      <c r="P139" s="58"/>
    </row>
    <row r="140" spans="2:20" ht="30" x14ac:dyDescent="0.25">
      <c r="B140" s="43" t="s">
        <v>76</v>
      </c>
      <c r="C140" s="43" t="s">
        <v>0</v>
      </c>
      <c r="D140" s="43" t="s">
        <v>1</v>
      </c>
      <c r="E140" s="43" t="s">
        <v>28</v>
      </c>
      <c r="F140" s="2" t="s">
        <v>29</v>
      </c>
      <c r="G140" s="2" t="s">
        <v>6</v>
      </c>
      <c r="H140" s="43" t="s">
        <v>2</v>
      </c>
      <c r="I140" s="43" t="s">
        <v>3</v>
      </c>
      <c r="J140" s="43" t="s">
        <v>4</v>
      </c>
      <c r="K140" s="43" t="s">
        <v>9</v>
      </c>
      <c r="L140" s="43" t="s">
        <v>8</v>
      </c>
      <c r="M140" s="43" t="s">
        <v>25</v>
      </c>
      <c r="N140" s="43" t="s">
        <v>7</v>
      </c>
      <c r="O140" s="43" t="s">
        <v>89</v>
      </c>
      <c r="P140" s="25"/>
      <c r="Q140" s="43" t="s">
        <v>5</v>
      </c>
      <c r="R140" s="43" t="s">
        <v>91</v>
      </c>
      <c r="T140" s="43" t="s">
        <v>10</v>
      </c>
    </row>
    <row r="141" spans="2:20" ht="15" x14ac:dyDescent="0.25">
      <c r="B141" s="3">
        <v>2016</v>
      </c>
      <c r="C141" s="51">
        <f>Inputs_Summary!E$16*C34/1000000</f>
        <v>280.52467826386066</v>
      </c>
      <c r="D141" s="51">
        <f>Inputs_Summary!F$16*D34/1000000</f>
        <v>0</v>
      </c>
      <c r="E141" s="51">
        <f>Inputs_Summary!G$16*E34/1000000</f>
        <v>1.4970319768567157E-2</v>
      </c>
      <c r="F141" s="51">
        <f>Inputs_Summary!H$16*F34/1000000</f>
        <v>0</v>
      </c>
      <c r="G141" s="51">
        <f>Inputs_Summary!I$16*G34/1000000</f>
        <v>0</v>
      </c>
      <c r="H141" s="51">
        <f>Inputs_Summary!J$16*H34/1000000</f>
        <v>0</v>
      </c>
      <c r="I141" s="51">
        <f>Inputs_Summary!K$16*I34/1000000</f>
        <v>6.6213594050410038E-2</v>
      </c>
      <c r="J141" s="51">
        <f>Inputs_Summary!L$16*J34/1000000</f>
        <v>0</v>
      </c>
      <c r="K141" s="51">
        <f>Inputs_Summary!M$16*K34/1000000</f>
        <v>0</v>
      </c>
      <c r="L141" s="51">
        <f>Inputs_Summary!N$16*L34/1000000</f>
        <v>0.35950778379036846</v>
      </c>
      <c r="M141" s="51">
        <f>Inputs_Summary!O$16*M34/1000000</f>
        <v>0</v>
      </c>
      <c r="N141" s="51">
        <f>Inputs_Summary!P$16*N34/1000000</f>
        <v>5.9887859519957903E-4</v>
      </c>
      <c r="O141" s="51">
        <f>Inputs_Summary!R$16*O34/1000000</f>
        <v>0</v>
      </c>
      <c r="P141" s="97"/>
      <c r="Q141" s="39">
        <f>G141+N141</f>
        <v>5.9887859519957903E-4</v>
      </c>
      <c r="R141" s="5">
        <f>SUM(K141:L141)</f>
        <v>0.35950778379036846</v>
      </c>
      <c r="T141" s="5">
        <f>SUM(C141:O141)</f>
        <v>280.96596884006522</v>
      </c>
    </row>
    <row r="142" spans="2:20" ht="15" x14ac:dyDescent="0.25">
      <c r="B142" s="3">
        <v>2030</v>
      </c>
      <c r="C142" s="51">
        <f>Inputs_Summary!E$16*C35/1000000</f>
        <v>133.08734246808007</v>
      </c>
      <c r="D142" s="51">
        <f>Inputs_Summary!F$16*D35/1000000</f>
        <v>0</v>
      </c>
      <c r="E142" s="51">
        <f>Inputs_Summary!G$16*E35/1000000</f>
        <v>4.4026587174633328E-2</v>
      </c>
      <c r="F142" s="51">
        <f>Inputs_Summary!H$16*F35/1000000</f>
        <v>0</v>
      </c>
      <c r="G142" s="51">
        <f>Inputs_Summary!I$16*G35/1000000</f>
        <v>0</v>
      </c>
      <c r="H142" s="51">
        <f>Inputs_Summary!J$16*H35/1000000</f>
        <v>0</v>
      </c>
      <c r="I142" s="51">
        <f>Inputs_Summary!K$16*I35/1000000</f>
        <v>6.7155743202155921E-2</v>
      </c>
      <c r="J142" s="51">
        <f>Inputs_Summary!L$16*J35/1000000</f>
        <v>0</v>
      </c>
      <c r="K142" s="51">
        <f>Inputs_Summary!M$16*K35/1000000</f>
        <v>0</v>
      </c>
      <c r="L142" s="51">
        <f>Inputs_Summary!N$16*L35/1000000</f>
        <v>0.35818674338635925</v>
      </c>
      <c r="M142" s="51">
        <f>Inputs_Summary!O$16*M35/1000000</f>
        <v>0</v>
      </c>
      <c r="N142" s="51">
        <f>Inputs_Summary!P$16*N35/1000000</f>
        <v>5.1876383646136848E-4</v>
      </c>
      <c r="O142" s="51">
        <f>Inputs_Summary!R$16*O35/1000000</f>
        <v>0</v>
      </c>
      <c r="P142" s="97"/>
      <c r="Q142" s="39">
        <f>G142+N142</f>
        <v>5.1876383646136848E-4</v>
      </c>
      <c r="R142" s="5">
        <f>SUM(K142:L142)</f>
        <v>0.35818674338635925</v>
      </c>
      <c r="T142" s="5">
        <f t="shared" ref="T142:T144" si="60">SUM(C142:O142)</f>
        <v>133.5572303056797</v>
      </c>
    </row>
    <row r="143" spans="2:20" ht="15" x14ac:dyDescent="0.25">
      <c r="B143" s="3">
        <v>2040</v>
      </c>
      <c r="C143" s="51">
        <f>Inputs_Summary!E$16*C36/1000000</f>
        <v>24.270270681312869</v>
      </c>
      <c r="D143" s="51">
        <f>Inputs_Summary!F$16*D36/1000000</f>
        <v>0</v>
      </c>
      <c r="E143" s="51">
        <f>Inputs_Summary!G$16*E36/1000000</f>
        <v>4.4938250695453576E-2</v>
      </c>
      <c r="F143" s="51">
        <f>Inputs_Summary!H$16*F36/1000000</f>
        <v>0</v>
      </c>
      <c r="G143" s="51">
        <f>Inputs_Summary!I$16*G36/1000000</f>
        <v>0</v>
      </c>
      <c r="H143" s="51">
        <f>Inputs_Summary!J$16*H36/1000000</f>
        <v>0</v>
      </c>
      <c r="I143" s="51">
        <f>Inputs_Summary!K$16*I36/1000000</f>
        <v>6.7726728052681442E-2</v>
      </c>
      <c r="J143" s="51">
        <f>Inputs_Summary!L$16*J36/1000000</f>
        <v>0</v>
      </c>
      <c r="K143" s="51">
        <f>Inputs_Summary!M$16*K36/1000000</f>
        <v>0</v>
      </c>
      <c r="L143" s="51">
        <f>Inputs_Summary!N$16*L36/1000000</f>
        <v>0.37523057715094899</v>
      </c>
      <c r="M143" s="51">
        <f>Inputs_Summary!O$16*M36/1000000</f>
        <v>0</v>
      </c>
      <c r="N143" s="51">
        <f>Inputs_Summary!P$16*N36/1000000</f>
        <v>5.3004399564361303E-4</v>
      </c>
      <c r="O143" s="51">
        <f>Inputs_Summary!R$16*O36/1000000</f>
        <v>0</v>
      </c>
      <c r="P143" s="97"/>
      <c r="Q143" s="39">
        <f>G143+N143</f>
        <v>5.3004399564361303E-4</v>
      </c>
      <c r="R143" s="5">
        <f>SUM(K143:L143)</f>
        <v>0.37523057715094899</v>
      </c>
      <c r="T143" s="5">
        <f t="shared" si="60"/>
        <v>24.758696281207591</v>
      </c>
    </row>
    <row r="144" spans="2:20" ht="15" x14ac:dyDescent="0.25">
      <c r="B144" s="3">
        <v>2050</v>
      </c>
      <c r="C144" s="51">
        <f>Inputs_Summary!E$16*C37/1000000</f>
        <v>0</v>
      </c>
      <c r="D144" s="51">
        <f>Inputs_Summary!F$16*D37/1000000</f>
        <v>0</v>
      </c>
      <c r="E144" s="51">
        <f>Inputs_Summary!G$16*E37/1000000</f>
        <v>4.4147527965590579E-2</v>
      </c>
      <c r="F144" s="51">
        <f>Inputs_Summary!H$16*F37/1000000</f>
        <v>0</v>
      </c>
      <c r="G144" s="51">
        <f>Inputs_Summary!I$16*G37/1000000</f>
        <v>0</v>
      </c>
      <c r="H144" s="51">
        <f>Inputs_Summary!J$16*H37/1000000</f>
        <v>0</v>
      </c>
      <c r="I144" s="51">
        <f>Inputs_Summary!K$16*I37/1000000</f>
        <v>0</v>
      </c>
      <c r="J144" s="51">
        <f>Inputs_Summary!L$16*J37/1000000</f>
        <v>0</v>
      </c>
      <c r="K144" s="51">
        <f>Inputs_Summary!M$16*K37/1000000</f>
        <v>0</v>
      </c>
      <c r="L144" s="51">
        <f>Inputs_Summary!N$16*L37/1000000</f>
        <v>0.36060154470361128</v>
      </c>
      <c r="M144" s="51">
        <f>Inputs_Summary!O$16*M37/1000000</f>
        <v>0</v>
      </c>
      <c r="N144" s="51">
        <f>Inputs_Summary!P$16*N37/1000000</f>
        <v>4.746323813938436E-4</v>
      </c>
      <c r="O144" s="51">
        <f>Inputs_Summary!R$16*O37/1000000</f>
        <v>0</v>
      </c>
      <c r="P144" s="97"/>
      <c r="Q144" s="39">
        <f>G144+N144</f>
        <v>4.746323813938436E-4</v>
      </c>
      <c r="R144" s="5">
        <f>SUM(K144:L144)</f>
        <v>0.36060154470361128</v>
      </c>
      <c r="T144" s="5">
        <f t="shared" si="60"/>
        <v>0.40522370505059568</v>
      </c>
    </row>
    <row r="145" spans="2:20" ht="15" x14ac:dyDescent="0.25"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28"/>
      <c r="Q145" s="5"/>
      <c r="R145" s="5"/>
      <c r="S145" s="5"/>
      <c r="T145" s="5"/>
    </row>
    <row r="146" spans="2:20" ht="30" x14ac:dyDescent="0.25">
      <c r="B146" s="43" t="s">
        <v>77</v>
      </c>
      <c r="C146" s="43" t="s">
        <v>0</v>
      </c>
      <c r="D146" s="43" t="s">
        <v>1</v>
      </c>
      <c r="E146" s="43" t="s">
        <v>28</v>
      </c>
      <c r="F146" s="2" t="s">
        <v>29</v>
      </c>
      <c r="G146" s="2" t="s">
        <v>6</v>
      </c>
      <c r="H146" s="43" t="s">
        <v>2</v>
      </c>
      <c r="I146" s="43" t="s">
        <v>3</v>
      </c>
      <c r="J146" s="43" t="s">
        <v>4</v>
      </c>
      <c r="K146" s="43" t="s">
        <v>9</v>
      </c>
      <c r="L146" s="43" t="s">
        <v>8</v>
      </c>
      <c r="M146" s="43" t="s">
        <v>25</v>
      </c>
      <c r="N146" s="43" t="s">
        <v>7</v>
      </c>
      <c r="O146" s="43" t="s">
        <v>89</v>
      </c>
      <c r="P146" s="25"/>
      <c r="Q146" s="43" t="s">
        <v>5</v>
      </c>
      <c r="R146" s="43" t="s">
        <v>91</v>
      </c>
      <c r="T146" s="43" t="s">
        <v>10</v>
      </c>
    </row>
    <row r="147" spans="2:20" ht="15" x14ac:dyDescent="0.25">
      <c r="B147" s="3">
        <v>2016</v>
      </c>
      <c r="C147" s="51">
        <f>Inputs_Summary!E$19*C40/1000000</f>
        <v>0</v>
      </c>
      <c r="D147" s="51">
        <f>Inputs_Summary!F$19*D40/1000000</f>
        <v>0</v>
      </c>
      <c r="E147" s="51">
        <f>Inputs_Summary!G$19*E40/1000000</f>
        <v>0</v>
      </c>
      <c r="F147" s="51">
        <f>Inputs_Summary!H$19*F40/1000000</f>
        <v>0</v>
      </c>
      <c r="G147" s="51">
        <f>Inputs_Summary!I$19*G40/1000000</f>
        <v>0</v>
      </c>
      <c r="H147" s="51">
        <f>Inputs_Summary!J$19*H40/1000000</f>
        <v>0</v>
      </c>
      <c r="I147" s="51">
        <f>Inputs_Summary!K$19*I40/1000000</f>
        <v>0</v>
      </c>
      <c r="J147" s="51">
        <f>Inputs_Summary!L$19*J40/1000000</f>
        <v>0</v>
      </c>
      <c r="K147" s="51">
        <f>Inputs_Summary!M$19*K40/1000000</f>
        <v>0</v>
      </c>
      <c r="L147" s="51">
        <f>Inputs_Summary!N$19*L40/1000000</f>
        <v>0</v>
      </c>
      <c r="M147" s="51">
        <f>Inputs_Summary!O$19*M40/1000000</f>
        <v>0</v>
      </c>
      <c r="N147" s="51">
        <f>Inputs_Summary!P$19*N40/1000000</f>
        <v>0</v>
      </c>
      <c r="O147" s="51">
        <f>Inputs_Summary!R$19*O40/1000000</f>
        <v>0</v>
      </c>
      <c r="P147" s="97"/>
      <c r="Q147" s="39">
        <f>G147+N147</f>
        <v>0</v>
      </c>
      <c r="R147" s="5">
        <f>SUM(K147:L147)</f>
        <v>0</v>
      </c>
      <c r="T147" s="5">
        <f>SUM(C147:O147)</f>
        <v>0</v>
      </c>
    </row>
    <row r="148" spans="2:20" ht="15" x14ac:dyDescent="0.25">
      <c r="B148" s="3">
        <v>2030</v>
      </c>
      <c r="C148" s="51">
        <f>Inputs_Summary!E$19*C41/1000000</f>
        <v>7.9369704196887527</v>
      </c>
      <c r="D148" s="51">
        <f>Inputs_Summary!F$19*D41/1000000</f>
        <v>0</v>
      </c>
      <c r="E148" s="51">
        <f>Inputs_Summary!G$19*E41/1000000</f>
        <v>0</v>
      </c>
      <c r="F148" s="51">
        <f>Inputs_Summary!H$19*F41/1000000</f>
        <v>0</v>
      </c>
      <c r="G148" s="51">
        <f>Inputs_Summary!I$19*G41/1000000</f>
        <v>0</v>
      </c>
      <c r="H148" s="51">
        <f>Inputs_Summary!J$19*H41/1000000</f>
        <v>0</v>
      </c>
      <c r="I148" s="51">
        <f>Inputs_Summary!K$19*I41/1000000</f>
        <v>0.33708429546549951</v>
      </c>
      <c r="J148" s="51">
        <f>Inputs_Summary!L$19*J41/1000000</f>
        <v>0</v>
      </c>
      <c r="K148" s="51">
        <f>Inputs_Summary!M$19*K41/1000000</f>
        <v>0</v>
      </c>
      <c r="L148" s="51">
        <f>Inputs_Summary!N$19*L41/1000000</f>
        <v>0.23292557456152382</v>
      </c>
      <c r="M148" s="51">
        <f>Inputs_Summary!O$19*M41/1000000</f>
        <v>0</v>
      </c>
      <c r="N148" s="51">
        <f>Inputs_Summary!P$19*N41/1000000</f>
        <v>6.4136590713116106E-4</v>
      </c>
      <c r="O148" s="51">
        <f>Inputs_Summary!R$19*O41/1000000</f>
        <v>0</v>
      </c>
      <c r="P148" s="97"/>
      <c r="Q148" s="39">
        <f>G148+N148</f>
        <v>6.4136590713116106E-4</v>
      </c>
      <c r="R148" s="5">
        <f>SUM(K148:L148)</f>
        <v>0.23292557456152382</v>
      </c>
      <c r="T148" s="5">
        <f t="shared" ref="T148:T150" si="61">SUM(C148:O148)</f>
        <v>8.5076216556229074</v>
      </c>
    </row>
    <row r="149" spans="2:20" ht="15" x14ac:dyDescent="0.25">
      <c r="B149" s="3">
        <v>2040</v>
      </c>
      <c r="C149" s="51">
        <f>Inputs_Summary!E$19*C42/1000000</f>
        <v>7.6739685332147713</v>
      </c>
      <c r="D149" s="51">
        <f>Inputs_Summary!F$19*D42/1000000</f>
        <v>0</v>
      </c>
      <c r="E149" s="51">
        <f>Inputs_Summary!G$19*E42/1000000</f>
        <v>0</v>
      </c>
      <c r="F149" s="51">
        <f>Inputs_Summary!H$19*F42/1000000</f>
        <v>0</v>
      </c>
      <c r="G149" s="51">
        <f>Inputs_Summary!I$19*G42/1000000</f>
        <v>0</v>
      </c>
      <c r="H149" s="51">
        <f>Inputs_Summary!J$19*H42/1000000</f>
        <v>0</v>
      </c>
      <c r="I149" s="51">
        <f>Inputs_Summary!K$19*I42/1000000</f>
        <v>0.33847296000705451</v>
      </c>
      <c r="J149" s="51">
        <f>Inputs_Summary!L$19*J42/1000000</f>
        <v>0</v>
      </c>
      <c r="K149" s="51">
        <f>Inputs_Summary!M$19*K42/1000000</f>
        <v>0</v>
      </c>
      <c r="L149" s="51">
        <f>Inputs_Summary!N$19*L42/1000000</f>
        <v>0.23252441597446413</v>
      </c>
      <c r="M149" s="51">
        <f>Inputs_Summary!O$19*M42/1000000</f>
        <v>0</v>
      </c>
      <c r="N149" s="51">
        <f>Inputs_Summary!P$19*N42/1000000</f>
        <v>6.3990912092480156E-4</v>
      </c>
      <c r="O149" s="51">
        <f>Inputs_Summary!R$19*O42/1000000</f>
        <v>0</v>
      </c>
      <c r="P149" s="97"/>
      <c r="Q149" s="39">
        <f>G149+N149</f>
        <v>6.3990912092480156E-4</v>
      </c>
      <c r="R149" s="5">
        <f>SUM(K149:L149)</f>
        <v>0.23252441597446413</v>
      </c>
      <c r="T149" s="5">
        <f t="shared" si="61"/>
        <v>8.2456058183172125</v>
      </c>
    </row>
    <row r="150" spans="2:20" ht="15" x14ac:dyDescent="0.25">
      <c r="B150" s="3">
        <v>2050</v>
      </c>
      <c r="C150" s="51">
        <f>Inputs_Summary!E$19*C43/1000000</f>
        <v>0</v>
      </c>
      <c r="D150" s="51">
        <f>Inputs_Summary!F$19*D43/1000000</f>
        <v>0</v>
      </c>
      <c r="E150" s="51">
        <f>Inputs_Summary!G$19*E43/1000000</f>
        <v>0</v>
      </c>
      <c r="F150" s="51">
        <f>Inputs_Summary!H$19*F43/1000000</f>
        <v>0</v>
      </c>
      <c r="G150" s="51">
        <f>Inputs_Summary!I$19*G43/1000000</f>
        <v>0</v>
      </c>
      <c r="H150" s="51">
        <f>Inputs_Summary!J$19*H43/1000000</f>
        <v>0</v>
      </c>
      <c r="I150" s="51">
        <f>Inputs_Summary!K$19*I43/1000000</f>
        <v>0</v>
      </c>
      <c r="J150" s="51">
        <f>Inputs_Summary!L$19*J43/1000000</f>
        <v>0</v>
      </c>
      <c r="K150" s="51">
        <f>Inputs_Summary!M$19*K43/1000000</f>
        <v>0</v>
      </c>
      <c r="L150" s="51">
        <f>Inputs_Summary!N$19*L43/1000000</f>
        <v>0</v>
      </c>
      <c r="M150" s="51">
        <f>Inputs_Summary!O$19*M43/1000000</f>
        <v>0</v>
      </c>
      <c r="N150" s="51">
        <f>Inputs_Summary!P$19*N43/1000000</f>
        <v>5.6988450596173333E-4</v>
      </c>
      <c r="O150" s="51">
        <f>Inputs_Summary!R$19*O43/1000000</f>
        <v>0</v>
      </c>
      <c r="P150" s="97"/>
      <c r="Q150" s="39">
        <f>G150+N150</f>
        <v>5.6988450596173333E-4</v>
      </c>
      <c r="R150" s="5">
        <f>SUM(K150:L150)</f>
        <v>0</v>
      </c>
      <c r="T150" s="5">
        <f t="shared" si="61"/>
        <v>5.6988450596173333E-4</v>
      </c>
    </row>
    <row r="151" spans="2:20" ht="15" x14ac:dyDescent="0.25"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28"/>
      <c r="Q151" s="5"/>
      <c r="R151" s="5"/>
      <c r="S151" s="5"/>
      <c r="T151" s="5"/>
    </row>
    <row r="152" spans="2:20" ht="30" x14ac:dyDescent="0.25">
      <c r="B152" s="43" t="s">
        <v>78</v>
      </c>
      <c r="C152" s="43" t="s">
        <v>0</v>
      </c>
      <c r="D152" s="43" t="s">
        <v>1</v>
      </c>
      <c r="E152" s="43" t="s">
        <v>28</v>
      </c>
      <c r="F152" s="2" t="s">
        <v>29</v>
      </c>
      <c r="G152" s="2" t="s">
        <v>6</v>
      </c>
      <c r="H152" s="43" t="s">
        <v>2</v>
      </c>
      <c r="I152" s="43" t="s">
        <v>3</v>
      </c>
      <c r="J152" s="43" t="s">
        <v>4</v>
      </c>
      <c r="K152" s="43" t="s">
        <v>9</v>
      </c>
      <c r="L152" s="43" t="s">
        <v>8</v>
      </c>
      <c r="M152" s="43" t="s">
        <v>25</v>
      </c>
      <c r="N152" s="43" t="s">
        <v>7</v>
      </c>
      <c r="O152" s="43" t="s">
        <v>89</v>
      </c>
      <c r="P152" s="25"/>
      <c r="Q152" s="43" t="s">
        <v>5</v>
      </c>
      <c r="R152" s="43" t="s">
        <v>91</v>
      </c>
      <c r="T152" s="43" t="s">
        <v>10</v>
      </c>
    </row>
    <row r="153" spans="2:20" ht="15" x14ac:dyDescent="0.25">
      <c r="B153" s="3">
        <v>2016</v>
      </c>
      <c r="C153" s="51">
        <f>Inputs_Summary!E$22*C46/1000000</f>
        <v>0</v>
      </c>
      <c r="D153" s="51">
        <f>Inputs_Summary!F$22*D46/1000000</f>
        <v>0</v>
      </c>
      <c r="E153" s="51">
        <f>Inputs_Summary!G$22*E46/1000000</f>
        <v>0</v>
      </c>
      <c r="F153" s="51">
        <f>Inputs_Summary!H$22*F46/1000000</f>
        <v>0</v>
      </c>
      <c r="G153" s="51">
        <f>Inputs_Summary!I$22*G46/1000000</f>
        <v>0</v>
      </c>
      <c r="H153" s="51">
        <f>Inputs_Summary!J$22*H46/1000000</f>
        <v>0</v>
      </c>
      <c r="I153" s="51">
        <f>Inputs_Summary!K$22*I46/1000000</f>
        <v>0</v>
      </c>
      <c r="J153" s="51">
        <f>Inputs_Summary!L$22*J46/1000000</f>
        <v>0</v>
      </c>
      <c r="K153" s="51">
        <f>Inputs_Summary!M$22*K46/1000000</f>
        <v>0</v>
      </c>
      <c r="L153" s="51">
        <f>Inputs_Summary!N$22*L46/1000000</f>
        <v>0</v>
      </c>
      <c r="M153" s="51">
        <f>Inputs_Summary!O$22*M46/1000000</f>
        <v>0</v>
      </c>
      <c r="N153" s="51">
        <f>Inputs_Summary!P$22*N46/1000000</f>
        <v>0</v>
      </c>
      <c r="O153" s="51">
        <f>Inputs_Summary!R$22*O46/1000000</f>
        <v>0</v>
      </c>
      <c r="P153" s="97"/>
      <c r="Q153" s="39">
        <f>G153+N153</f>
        <v>0</v>
      </c>
      <c r="R153" s="5">
        <f>SUM(K153:L153)</f>
        <v>0</v>
      </c>
      <c r="T153" s="5">
        <f>SUM(C153:O153)</f>
        <v>0</v>
      </c>
    </row>
    <row r="154" spans="2:20" ht="15" x14ac:dyDescent="0.25">
      <c r="B154" s="3">
        <v>2030</v>
      </c>
      <c r="C154" s="51">
        <f>Inputs_Summary!E$22*C47/1000000</f>
        <v>0</v>
      </c>
      <c r="D154" s="51">
        <f>Inputs_Summary!F$22*D47/1000000</f>
        <v>0</v>
      </c>
      <c r="E154" s="51">
        <f>Inputs_Summary!G$22*E47/1000000</f>
        <v>0.23944000804699667</v>
      </c>
      <c r="F154" s="51">
        <f>Inputs_Summary!H$22*F47/1000000</f>
        <v>0</v>
      </c>
      <c r="G154" s="51">
        <f>Inputs_Summary!I$22*G47/1000000</f>
        <v>0</v>
      </c>
      <c r="H154" s="51">
        <f>Inputs_Summary!J$22*H47/1000000</f>
        <v>0</v>
      </c>
      <c r="I154" s="51">
        <f>Inputs_Summary!K$22*I47/1000000</f>
        <v>0</v>
      </c>
      <c r="J154" s="51">
        <f>Inputs_Summary!L$22*J47/1000000</f>
        <v>0</v>
      </c>
      <c r="K154" s="51">
        <f>Inputs_Summary!M$22*K47/1000000</f>
        <v>0</v>
      </c>
      <c r="L154" s="51">
        <f>Inputs_Summary!N$22*L47/1000000</f>
        <v>0</v>
      </c>
      <c r="M154" s="51">
        <f>Inputs_Summary!O$22*M47/1000000</f>
        <v>0</v>
      </c>
      <c r="N154" s="51">
        <f>Inputs_Summary!P$22*N47/1000000</f>
        <v>1.6707337084618983E-4</v>
      </c>
      <c r="O154" s="51">
        <f>Inputs_Summary!R$22*O47/1000000</f>
        <v>0</v>
      </c>
      <c r="P154" s="97"/>
      <c r="Q154" s="39">
        <f>G154+N154</f>
        <v>1.6707337084618983E-4</v>
      </c>
      <c r="R154" s="5">
        <f>SUM(K154:L154)</f>
        <v>0</v>
      </c>
      <c r="T154" s="5">
        <f t="shared" ref="T154:T156" si="62">SUM(C154:O154)</f>
        <v>0.23960708141784284</v>
      </c>
    </row>
    <row r="155" spans="2:20" ht="15" x14ac:dyDescent="0.25">
      <c r="B155" s="3">
        <v>2040</v>
      </c>
      <c r="C155" s="51">
        <f>Inputs_Summary!E$22*C48/1000000</f>
        <v>0</v>
      </c>
      <c r="D155" s="51">
        <f>Inputs_Summary!F$22*D48/1000000</f>
        <v>0</v>
      </c>
      <c r="E155" s="51">
        <f>Inputs_Summary!G$22*E48/1000000</f>
        <v>0.77263964923594675</v>
      </c>
      <c r="F155" s="51">
        <f>Inputs_Summary!H$22*F48/1000000</f>
        <v>0</v>
      </c>
      <c r="G155" s="51">
        <f>Inputs_Summary!I$22*G48/1000000</f>
        <v>0</v>
      </c>
      <c r="H155" s="51">
        <f>Inputs_Summary!J$22*H48/1000000</f>
        <v>0</v>
      </c>
      <c r="I155" s="51">
        <f>Inputs_Summary!K$22*I48/1000000</f>
        <v>0</v>
      </c>
      <c r="J155" s="51">
        <f>Inputs_Summary!L$22*J48/1000000</f>
        <v>0</v>
      </c>
      <c r="K155" s="51">
        <f>Inputs_Summary!M$22*K48/1000000</f>
        <v>0</v>
      </c>
      <c r="L155" s="51">
        <f>Inputs_Summary!N$22*L48/1000000</f>
        <v>0</v>
      </c>
      <c r="M155" s="51">
        <f>Inputs_Summary!O$22*M48/1000000</f>
        <v>0</v>
      </c>
      <c r="N155" s="51">
        <f>Inputs_Summary!P$22*N48/1000000</f>
        <v>1.7253042525875849E-4</v>
      </c>
      <c r="O155" s="51">
        <f>Inputs_Summary!R$22*O48/1000000</f>
        <v>0</v>
      </c>
      <c r="P155" s="97"/>
      <c r="Q155" s="39">
        <f>G155+N155</f>
        <v>1.7253042525875849E-4</v>
      </c>
      <c r="R155" s="5">
        <f>SUM(K155:L155)</f>
        <v>0</v>
      </c>
      <c r="T155" s="5">
        <f t="shared" si="62"/>
        <v>0.77281217966120552</v>
      </c>
    </row>
    <row r="156" spans="2:20" ht="15" x14ac:dyDescent="0.25">
      <c r="B156" s="3">
        <v>2050</v>
      </c>
      <c r="C156" s="51">
        <f>Inputs_Summary!E$22*C49/1000000</f>
        <v>0</v>
      </c>
      <c r="D156" s="51">
        <f>Inputs_Summary!F$22*D49/1000000</f>
        <v>0</v>
      </c>
      <c r="E156" s="51">
        <f>Inputs_Summary!G$22*E49/1000000</f>
        <v>0.53871670820996331</v>
      </c>
      <c r="F156" s="51">
        <f>Inputs_Summary!H$22*F49/1000000</f>
        <v>0</v>
      </c>
      <c r="G156" s="51">
        <f>Inputs_Summary!I$22*G49/1000000</f>
        <v>0</v>
      </c>
      <c r="H156" s="51">
        <f>Inputs_Summary!J$22*H49/1000000</f>
        <v>0</v>
      </c>
      <c r="I156" s="51">
        <f>Inputs_Summary!K$22*I49/1000000</f>
        <v>5.5899971189786415</v>
      </c>
      <c r="J156" s="51">
        <f>Inputs_Summary!L$22*J49/1000000</f>
        <v>0</v>
      </c>
      <c r="K156" s="51">
        <f>Inputs_Summary!M$22*K49/1000000</f>
        <v>0</v>
      </c>
      <c r="L156" s="51">
        <f>Inputs_Summary!N$22*L49/1000000</f>
        <v>3.7979820605202255</v>
      </c>
      <c r="M156" s="51">
        <f>Inputs_Summary!O$22*M49/1000000</f>
        <v>0</v>
      </c>
      <c r="N156" s="51">
        <f>Inputs_Summary!P$22*N49/1000000</f>
        <v>5.7476923029854817E-4</v>
      </c>
      <c r="O156" s="51">
        <f>Inputs_Summary!R$22*O49/1000000</f>
        <v>0</v>
      </c>
      <c r="P156" s="97"/>
      <c r="Q156" s="39">
        <f>G156+N156</f>
        <v>5.7476923029854817E-4</v>
      </c>
      <c r="R156" s="5">
        <f>SUM(K156:L156)</f>
        <v>3.7979820605202255</v>
      </c>
      <c r="T156" s="5">
        <f t="shared" si="62"/>
        <v>9.9272706569391307</v>
      </c>
    </row>
    <row r="157" spans="2:20" ht="15" x14ac:dyDescent="0.25"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28"/>
    </row>
    <row r="158" spans="2:20" ht="30" x14ac:dyDescent="0.25">
      <c r="B158" s="43" t="s">
        <v>79</v>
      </c>
      <c r="C158" s="43" t="s">
        <v>0</v>
      </c>
      <c r="D158" s="43" t="s">
        <v>1</v>
      </c>
      <c r="E158" s="43" t="s">
        <v>28</v>
      </c>
      <c r="F158" s="2" t="s">
        <v>29</v>
      </c>
      <c r="G158" s="2" t="s">
        <v>6</v>
      </c>
      <c r="H158" s="43" t="s">
        <v>2</v>
      </c>
      <c r="I158" s="43" t="s">
        <v>3</v>
      </c>
      <c r="J158" s="43" t="s">
        <v>4</v>
      </c>
      <c r="K158" s="43" t="s">
        <v>9</v>
      </c>
      <c r="L158" s="43" t="s">
        <v>8</v>
      </c>
      <c r="M158" s="43" t="s">
        <v>25</v>
      </c>
      <c r="N158" s="43" t="s">
        <v>7</v>
      </c>
      <c r="O158" s="43" t="s">
        <v>89</v>
      </c>
      <c r="P158" s="25"/>
      <c r="Q158" s="43" t="s">
        <v>5</v>
      </c>
      <c r="R158" s="43" t="s">
        <v>91</v>
      </c>
      <c r="T158" s="43" t="s">
        <v>10</v>
      </c>
    </row>
    <row r="159" spans="2:20" ht="15" x14ac:dyDescent="0.25">
      <c r="B159" s="3">
        <v>2016</v>
      </c>
      <c r="C159" s="51">
        <f t="shared" ref="C159:O162" si="63">C141+C147+C153</f>
        <v>280.52467826386066</v>
      </c>
      <c r="D159" s="51">
        <f t="shared" si="63"/>
        <v>0</v>
      </c>
      <c r="E159" s="51">
        <f t="shared" si="63"/>
        <v>1.4970319768567157E-2</v>
      </c>
      <c r="F159" s="51">
        <f t="shared" si="63"/>
        <v>0</v>
      </c>
      <c r="G159" s="51">
        <f t="shared" si="63"/>
        <v>0</v>
      </c>
      <c r="H159" s="51">
        <f t="shared" si="63"/>
        <v>0</v>
      </c>
      <c r="I159" s="51">
        <f t="shared" si="63"/>
        <v>6.6213594050410038E-2</v>
      </c>
      <c r="J159" s="51">
        <f t="shared" si="63"/>
        <v>0</v>
      </c>
      <c r="K159" s="51">
        <f t="shared" si="63"/>
        <v>0</v>
      </c>
      <c r="L159" s="51">
        <f t="shared" si="63"/>
        <v>0.35950778379036846</v>
      </c>
      <c r="M159" s="51">
        <f t="shared" si="63"/>
        <v>0</v>
      </c>
      <c r="N159" s="51">
        <f t="shared" si="63"/>
        <v>5.9887859519957903E-4</v>
      </c>
      <c r="O159" s="51">
        <f t="shared" si="63"/>
        <v>0</v>
      </c>
      <c r="P159" s="97"/>
      <c r="Q159" s="39">
        <f>G159+N159</f>
        <v>5.9887859519957903E-4</v>
      </c>
      <c r="R159" s="5">
        <f>SUM(K159:L159)</f>
        <v>0.35950778379036846</v>
      </c>
      <c r="T159" s="5">
        <f>SUM(C159:O159)</f>
        <v>280.96596884006522</v>
      </c>
    </row>
    <row r="160" spans="2:20" ht="15" x14ac:dyDescent="0.25">
      <c r="B160" s="3">
        <v>2030</v>
      </c>
      <c r="C160" s="51">
        <f t="shared" ref="C160:N160" si="64">C142+C148+C154</f>
        <v>141.02431288776882</v>
      </c>
      <c r="D160" s="51">
        <f t="shared" si="64"/>
        <v>0</v>
      </c>
      <c r="E160" s="51">
        <f t="shared" si="64"/>
        <v>0.28346659522162998</v>
      </c>
      <c r="F160" s="51">
        <f t="shared" si="64"/>
        <v>0</v>
      </c>
      <c r="G160" s="51">
        <f t="shared" si="64"/>
        <v>0</v>
      </c>
      <c r="H160" s="51">
        <f t="shared" si="64"/>
        <v>0</v>
      </c>
      <c r="I160" s="51">
        <f t="shared" si="64"/>
        <v>0.40424003866765545</v>
      </c>
      <c r="J160" s="51">
        <f t="shared" si="64"/>
        <v>0</v>
      </c>
      <c r="K160" s="51">
        <f t="shared" si="64"/>
        <v>0</v>
      </c>
      <c r="L160" s="51">
        <f t="shared" si="64"/>
        <v>0.5911123179478831</v>
      </c>
      <c r="M160" s="51">
        <f t="shared" si="64"/>
        <v>0</v>
      </c>
      <c r="N160" s="51">
        <f t="shared" si="64"/>
        <v>1.3272031144387195E-3</v>
      </c>
      <c r="O160" s="51">
        <f t="shared" si="63"/>
        <v>0</v>
      </c>
      <c r="P160" s="97"/>
      <c r="Q160" s="39">
        <f>G160+N160</f>
        <v>1.3272031144387195E-3</v>
      </c>
      <c r="R160" s="5">
        <f>SUM(K160:L160)</f>
        <v>0.5911123179478831</v>
      </c>
      <c r="T160" s="5">
        <f t="shared" ref="T160:T162" si="65">SUM(C160:O160)</f>
        <v>142.30445904272042</v>
      </c>
    </row>
    <row r="161" spans="2:20" ht="15" x14ac:dyDescent="0.25">
      <c r="B161" s="3">
        <v>2040</v>
      </c>
      <c r="C161" s="51">
        <f t="shared" ref="C161:N161" si="66">C143+C149+C155</f>
        <v>31.944239214527641</v>
      </c>
      <c r="D161" s="51">
        <f t="shared" si="66"/>
        <v>0</v>
      </c>
      <c r="E161" s="51">
        <f t="shared" si="66"/>
        <v>0.81757789993140029</v>
      </c>
      <c r="F161" s="51">
        <f t="shared" si="66"/>
        <v>0</v>
      </c>
      <c r="G161" s="51">
        <f t="shared" si="66"/>
        <v>0</v>
      </c>
      <c r="H161" s="51">
        <f t="shared" si="66"/>
        <v>0</v>
      </c>
      <c r="I161" s="51">
        <f t="shared" si="66"/>
        <v>0.40619968805973594</v>
      </c>
      <c r="J161" s="51">
        <f t="shared" si="66"/>
        <v>0</v>
      </c>
      <c r="K161" s="51">
        <f t="shared" si="66"/>
        <v>0</v>
      </c>
      <c r="L161" s="51">
        <f t="shared" si="66"/>
        <v>0.60775499312541315</v>
      </c>
      <c r="M161" s="51">
        <f t="shared" si="66"/>
        <v>0</v>
      </c>
      <c r="N161" s="51">
        <f t="shared" si="66"/>
        <v>1.3424835418271732E-3</v>
      </c>
      <c r="O161" s="51">
        <f t="shared" si="63"/>
        <v>0</v>
      </c>
      <c r="P161" s="97"/>
      <c r="Q161" s="39">
        <f>G161+N161</f>
        <v>1.3424835418271732E-3</v>
      </c>
      <c r="R161" s="5">
        <f>SUM(K161:L161)</f>
        <v>0.60775499312541315</v>
      </c>
      <c r="T161" s="5">
        <f t="shared" si="65"/>
        <v>33.777114279186016</v>
      </c>
    </row>
    <row r="162" spans="2:20" ht="15" x14ac:dyDescent="0.25">
      <c r="B162" s="3">
        <v>2050</v>
      </c>
      <c r="C162" s="51">
        <f t="shared" ref="C162:N162" si="67">C144+C150+C156</f>
        <v>0</v>
      </c>
      <c r="D162" s="51">
        <f t="shared" si="67"/>
        <v>0</v>
      </c>
      <c r="E162" s="51">
        <f t="shared" si="67"/>
        <v>0.58286423617555394</v>
      </c>
      <c r="F162" s="51">
        <f t="shared" si="67"/>
        <v>0</v>
      </c>
      <c r="G162" s="51">
        <f t="shared" si="67"/>
        <v>0</v>
      </c>
      <c r="H162" s="51">
        <f t="shared" si="67"/>
        <v>0</v>
      </c>
      <c r="I162" s="51">
        <f t="shared" si="67"/>
        <v>5.5899971189786415</v>
      </c>
      <c r="J162" s="51">
        <f t="shared" si="67"/>
        <v>0</v>
      </c>
      <c r="K162" s="51">
        <f t="shared" si="67"/>
        <v>0</v>
      </c>
      <c r="L162" s="51">
        <f t="shared" si="67"/>
        <v>4.1585836052238365</v>
      </c>
      <c r="M162" s="51">
        <f t="shared" si="67"/>
        <v>0</v>
      </c>
      <c r="N162" s="51">
        <f t="shared" si="67"/>
        <v>1.6192861176541251E-3</v>
      </c>
      <c r="O162" s="51">
        <f t="shared" si="63"/>
        <v>0</v>
      </c>
      <c r="P162" s="97"/>
      <c r="Q162" s="39">
        <f>G162+N162</f>
        <v>1.6192861176541251E-3</v>
      </c>
      <c r="R162" s="5">
        <f>SUM(K162:L162)</f>
        <v>4.1585836052238365</v>
      </c>
      <c r="T162" s="5">
        <f t="shared" si="65"/>
        <v>10.333064246495686</v>
      </c>
    </row>
    <row r="163" spans="2:20" ht="15" x14ac:dyDescent="0.25"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28"/>
    </row>
    <row r="164" spans="2:20" ht="15" x14ac:dyDescent="0.25">
      <c r="B164" s="3">
        <v>2016</v>
      </c>
      <c r="C164" s="23">
        <f t="shared" ref="C164:O167" si="68">IFERROR(C159/$T159,0)</f>
        <v>0.99842938068967435</v>
      </c>
      <c r="D164" s="23">
        <f t="shared" si="68"/>
        <v>0</v>
      </c>
      <c r="E164" s="23">
        <f t="shared" si="68"/>
        <v>5.3281612112564208E-5</v>
      </c>
      <c r="F164" s="23">
        <f t="shared" si="68"/>
        <v>0</v>
      </c>
      <c r="G164" s="23">
        <f t="shared" si="68"/>
        <v>0</v>
      </c>
      <c r="H164" s="23">
        <f t="shared" si="68"/>
        <v>0</v>
      </c>
      <c r="I164" s="23">
        <f t="shared" si="68"/>
        <v>2.3566410666660105E-4</v>
      </c>
      <c r="J164" s="23">
        <f t="shared" si="68"/>
        <v>0</v>
      </c>
      <c r="K164" s="23">
        <f t="shared" si="68"/>
        <v>0</v>
      </c>
      <c r="L164" s="23">
        <f t="shared" si="68"/>
        <v>1.2795420928539988E-3</v>
      </c>
      <c r="M164" s="23">
        <f t="shared" si="68"/>
        <v>0</v>
      </c>
      <c r="N164" s="23">
        <f t="shared" si="68"/>
        <v>2.1314986924287611E-6</v>
      </c>
      <c r="O164" s="23">
        <f t="shared" si="68"/>
        <v>0</v>
      </c>
      <c r="P164" s="26"/>
      <c r="Q164" s="7">
        <f t="shared" ref="Q164:R167" si="69">Q159/$T159</f>
        <v>2.1314986924287611E-6</v>
      </c>
      <c r="R164" s="7">
        <f t="shared" si="69"/>
        <v>1.2795420928539988E-3</v>
      </c>
      <c r="T164" s="8">
        <f>SUM(C164:O164)</f>
        <v>1</v>
      </c>
    </row>
    <row r="165" spans="2:20" ht="15" x14ac:dyDescent="0.25">
      <c r="B165" s="3">
        <v>2030</v>
      </c>
      <c r="C165" s="23">
        <f t="shared" si="68"/>
        <v>0.99100417398328111</v>
      </c>
      <c r="D165" s="23">
        <f t="shared" si="68"/>
        <v>0</v>
      </c>
      <c r="E165" s="23">
        <f t="shared" si="68"/>
        <v>1.9919726839798609E-3</v>
      </c>
      <c r="F165" s="23">
        <f t="shared" si="68"/>
        <v>0</v>
      </c>
      <c r="G165" s="23">
        <f t="shared" si="68"/>
        <v>0</v>
      </c>
      <c r="H165" s="23">
        <f t="shared" si="68"/>
        <v>0</v>
      </c>
      <c r="I165" s="23">
        <f t="shared" si="68"/>
        <v>2.8406702178341496E-3</v>
      </c>
      <c r="J165" s="23">
        <f t="shared" si="68"/>
        <v>0</v>
      </c>
      <c r="K165" s="23">
        <f t="shared" si="68"/>
        <v>0</v>
      </c>
      <c r="L165" s="23">
        <f t="shared" si="68"/>
        <v>4.1538566108489166E-3</v>
      </c>
      <c r="M165" s="23">
        <f t="shared" si="68"/>
        <v>0</v>
      </c>
      <c r="N165" s="23">
        <f t="shared" si="68"/>
        <v>9.3265040559290355E-6</v>
      </c>
      <c r="O165" s="23">
        <f t="shared" si="68"/>
        <v>0</v>
      </c>
      <c r="P165" s="26"/>
      <c r="Q165" s="7">
        <f t="shared" si="69"/>
        <v>9.3265040559290355E-6</v>
      </c>
      <c r="R165" s="7">
        <f t="shared" si="69"/>
        <v>4.1538566108489166E-3</v>
      </c>
      <c r="T165" s="8">
        <f t="shared" ref="T165:T167" si="70">SUM(C165:O165)</f>
        <v>1</v>
      </c>
    </row>
    <row r="166" spans="2:20" ht="15" x14ac:dyDescent="0.25">
      <c r="B166" s="3">
        <v>2040</v>
      </c>
      <c r="C166" s="23">
        <f t="shared" si="68"/>
        <v>0.94573618546840099</v>
      </c>
      <c r="D166" s="23">
        <f t="shared" si="68"/>
        <v>0</v>
      </c>
      <c r="E166" s="23">
        <f t="shared" si="68"/>
        <v>2.4205084341240024E-2</v>
      </c>
      <c r="F166" s="23">
        <f t="shared" si="68"/>
        <v>0</v>
      </c>
      <c r="G166" s="23">
        <f t="shared" si="68"/>
        <v>0</v>
      </c>
      <c r="H166" s="23">
        <f t="shared" si="68"/>
        <v>0</v>
      </c>
      <c r="I166" s="23">
        <f t="shared" si="68"/>
        <v>1.2025884884726298E-2</v>
      </c>
      <c r="J166" s="23">
        <f t="shared" si="68"/>
        <v>0</v>
      </c>
      <c r="K166" s="23">
        <f t="shared" si="68"/>
        <v>0</v>
      </c>
      <c r="L166" s="23">
        <f t="shared" si="68"/>
        <v>1.7993099946371712E-2</v>
      </c>
      <c r="M166" s="23">
        <f t="shared" si="68"/>
        <v>0</v>
      </c>
      <c r="N166" s="23">
        <f t="shared" si="68"/>
        <v>3.9745359261031738E-5</v>
      </c>
      <c r="O166" s="23">
        <f t="shared" si="68"/>
        <v>0</v>
      </c>
      <c r="P166" s="26"/>
      <c r="Q166" s="7">
        <f t="shared" si="69"/>
        <v>3.9745359261031738E-5</v>
      </c>
      <c r="R166" s="7">
        <f t="shared" si="69"/>
        <v>1.7993099946371712E-2</v>
      </c>
      <c r="T166" s="8">
        <f t="shared" si="70"/>
        <v>1</v>
      </c>
    </row>
    <row r="167" spans="2:20" ht="15" x14ac:dyDescent="0.25">
      <c r="B167" s="3">
        <v>2050</v>
      </c>
      <c r="C167" s="23">
        <f t="shared" si="68"/>
        <v>0</v>
      </c>
      <c r="D167" s="23">
        <f t="shared" si="68"/>
        <v>0</v>
      </c>
      <c r="E167" s="23">
        <f t="shared" si="68"/>
        <v>5.6407685297536418E-2</v>
      </c>
      <c r="F167" s="23">
        <f t="shared" si="68"/>
        <v>0</v>
      </c>
      <c r="G167" s="23">
        <f t="shared" si="68"/>
        <v>0</v>
      </c>
      <c r="H167" s="23">
        <f t="shared" si="68"/>
        <v>0</v>
      </c>
      <c r="I167" s="23">
        <f t="shared" si="68"/>
        <v>0.54098155064451581</v>
      </c>
      <c r="J167" s="23">
        <f t="shared" si="68"/>
        <v>0</v>
      </c>
      <c r="K167" s="23">
        <f t="shared" si="68"/>
        <v>0</v>
      </c>
      <c r="L167" s="23">
        <f t="shared" si="68"/>
        <v>0.40245405486897673</v>
      </c>
      <c r="M167" s="23">
        <f t="shared" si="68"/>
        <v>0</v>
      </c>
      <c r="N167" s="23">
        <f t="shared" si="68"/>
        <v>1.5670918897105313E-4</v>
      </c>
      <c r="O167" s="23">
        <f t="shared" si="68"/>
        <v>0</v>
      </c>
      <c r="P167" s="26"/>
      <c r="Q167" s="7">
        <f t="shared" si="69"/>
        <v>1.5670918897105313E-4</v>
      </c>
      <c r="R167" s="7">
        <f t="shared" si="69"/>
        <v>0.40245405486897673</v>
      </c>
      <c r="T167" s="8">
        <f t="shared" si="70"/>
        <v>0.99999999999999989</v>
      </c>
    </row>
    <row r="168" spans="2:20" s="11" customFormat="1" ht="15" x14ac:dyDescent="0.25">
      <c r="C168" s="12"/>
      <c r="D168" s="12"/>
      <c r="E168" s="14"/>
      <c r="F168" s="14"/>
      <c r="G168" s="14"/>
      <c r="H168" s="16"/>
      <c r="I168" s="14"/>
      <c r="J168" s="14"/>
      <c r="K168" s="16"/>
      <c r="L168" s="14"/>
      <c r="M168" s="16"/>
      <c r="N168" s="20"/>
      <c r="O168" s="20"/>
      <c r="P168" s="20"/>
    </row>
    <row r="169" spans="2:20" s="9" customFormat="1" ht="21" x14ac:dyDescent="0.35">
      <c r="B169" s="10" t="s">
        <v>18</v>
      </c>
    </row>
    <row r="170" spans="2:20" s="32" customFormat="1" ht="15" x14ac:dyDescent="0.25">
      <c r="B170" s="43"/>
      <c r="C170" s="40"/>
      <c r="D170" s="40"/>
      <c r="E170" s="40"/>
      <c r="P170" s="58"/>
    </row>
    <row r="171" spans="2:20" s="32" customFormat="1" ht="15.75" customHeight="1" x14ac:dyDescent="0.25">
      <c r="B171" s="33" t="s">
        <v>21</v>
      </c>
      <c r="C171" s="93">
        <f>Inputs_Summary!E27</f>
        <v>547</v>
      </c>
      <c r="D171" s="93">
        <f>Inputs_Summary!F27</f>
        <v>0</v>
      </c>
      <c r="E171" s="93">
        <f>Inputs_Summary!G27</f>
        <v>0</v>
      </c>
      <c r="F171" s="93">
        <f>Inputs_Summary!H27</f>
        <v>0</v>
      </c>
      <c r="G171" s="93">
        <f>Inputs_Summary!I27</f>
        <v>0</v>
      </c>
      <c r="H171" s="93">
        <f>Inputs_Summary!J27</f>
        <v>0</v>
      </c>
      <c r="I171" s="93">
        <f>Inputs_Summary!K27</f>
        <v>0</v>
      </c>
      <c r="J171" s="93">
        <f>Inputs_Summary!L27</f>
        <v>0</v>
      </c>
      <c r="K171" s="93">
        <f>Inputs_Summary!M27</f>
        <v>0</v>
      </c>
      <c r="L171" s="93">
        <f>Inputs_Summary!N27</f>
        <v>0</v>
      </c>
      <c r="M171" s="93">
        <f>Inputs_Summary!O27</f>
        <v>0</v>
      </c>
      <c r="N171" s="93">
        <f>Inputs_Summary!P27</f>
        <v>0</v>
      </c>
      <c r="O171" s="93">
        <f>Inputs_Summary!Q27</f>
        <v>0</v>
      </c>
      <c r="P171" s="99"/>
    </row>
    <row r="172" spans="2:20" s="32" customFormat="1" ht="15" x14ac:dyDescent="0.25">
      <c r="B172" s="33" t="s">
        <v>19</v>
      </c>
      <c r="C172" s="93">
        <f>Inputs_Summary!E28</f>
        <v>650</v>
      </c>
      <c r="D172" s="93">
        <f>Inputs_Summary!F28</f>
        <v>650</v>
      </c>
      <c r="E172" s="93">
        <f>Inputs_Summary!G28</f>
        <v>0</v>
      </c>
      <c r="F172" s="93">
        <f>Inputs_Summary!H28</f>
        <v>161</v>
      </c>
      <c r="G172" s="93">
        <f>Inputs_Summary!I28</f>
        <v>0</v>
      </c>
      <c r="H172" s="93">
        <f>Inputs_Summary!J28</f>
        <v>0</v>
      </c>
      <c r="I172" s="93">
        <f>Inputs_Summary!K28</f>
        <v>0</v>
      </c>
      <c r="J172" s="93">
        <f>Inputs_Summary!L28</f>
        <v>0</v>
      </c>
      <c r="K172" s="93">
        <f>Inputs_Summary!M28</f>
        <v>0</v>
      </c>
      <c r="L172" s="93">
        <f>Inputs_Summary!N28</f>
        <v>0</v>
      </c>
      <c r="M172" s="93">
        <f>Inputs_Summary!O28</f>
        <v>0</v>
      </c>
      <c r="N172" s="93">
        <f>Inputs_Summary!P28</f>
        <v>201</v>
      </c>
      <c r="O172" s="93">
        <f>Inputs_Summary!Q28</f>
        <v>0</v>
      </c>
      <c r="P172" s="99"/>
    </row>
    <row r="173" spans="2:20" s="32" customFormat="1" ht="15" x14ac:dyDescent="0.25">
      <c r="B173" s="33" t="s">
        <v>20</v>
      </c>
      <c r="C173" s="94">
        <f>Inputs_Summary!E29</f>
        <v>0.26832454873646205</v>
      </c>
      <c r="D173" s="94">
        <f>Inputs_Summary!F29</f>
        <v>0.12287246155234656</v>
      </c>
      <c r="E173" s="94">
        <f>Inputs_Summary!G29</f>
        <v>0.95</v>
      </c>
      <c r="F173" s="94">
        <f>Inputs_Summary!H29</f>
        <v>2.5</v>
      </c>
      <c r="G173" s="94">
        <f>Inputs_Summary!I29</f>
        <v>0.3</v>
      </c>
      <c r="H173" s="94">
        <f>Inputs_Summary!J29</f>
        <v>0.93</v>
      </c>
      <c r="I173" s="94">
        <f>Inputs_Summary!K29</f>
        <v>3.3</v>
      </c>
      <c r="J173" s="94">
        <f>Inputs_Summary!L29</f>
        <v>1.7</v>
      </c>
      <c r="K173" s="94">
        <f>Inputs_Summary!M29</f>
        <v>1.107</v>
      </c>
      <c r="L173" s="94">
        <f>Inputs_Summary!N29</f>
        <v>1.65</v>
      </c>
      <c r="M173" s="94">
        <f>Inputs_Summary!O29</f>
        <v>1.51</v>
      </c>
      <c r="N173" s="94">
        <f>Inputs_Summary!P29</f>
        <v>0.05</v>
      </c>
      <c r="O173" s="94">
        <f>Inputs_Summary!Q29</f>
        <v>0</v>
      </c>
      <c r="P173" s="100"/>
    </row>
    <row r="174" spans="2:20" s="58" customFormat="1" ht="15" x14ac:dyDescent="0.25">
      <c r="B174" s="67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</row>
    <row r="175" spans="2:20" ht="30" x14ac:dyDescent="0.25">
      <c r="B175" s="43" t="s">
        <v>45</v>
      </c>
      <c r="C175" s="43" t="s">
        <v>0</v>
      </c>
      <c r="D175" s="43" t="s">
        <v>1</v>
      </c>
      <c r="E175" s="43" t="s">
        <v>28</v>
      </c>
      <c r="F175" s="2" t="s">
        <v>29</v>
      </c>
      <c r="G175" s="2" t="s">
        <v>6</v>
      </c>
      <c r="H175" s="43" t="s">
        <v>2</v>
      </c>
      <c r="I175" s="43" t="s">
        <v>3</v>
      </c>
      <c r="J175" s="43" t="s">
        <v>4</v>
      </c>
      <c r="K175" s="43" t="s">
        <v>9</v>
      </c>
      <c r="L175" s="43" t="s">
        <v>8</v>
      </c>
      <c r="M175" s="43" t="s">
        <v>25</v>
      </c>
      <c r="N175" s="43" t="s">
        <v>7</v>
      </c>
      <c r="O175" s="43" t="s">
        <v>89</v>
      </c>
      <c r="P175" s="25"/>
      <c r="Q175" s="43" t="s">
        <v>5</v>
      </c>
      <c r="R175" s="43" t="s">
        <v>91</v>
      </c>
      <c r="T175" s="43" t="s">
        <v>10</v>
      </c>
    </row>
    <row r="176" spans="2:20" ht="15" x14ac:dyDescent="0.25">
      <c r="B176" s="3">
        <v>2016</v>
      </c>
      <c r="C176" s="19">
        <f t="shared" ref="C176:O176" si="71">((C$172+C$171)*C4+C$173*C34*1000)/1000000</f>
        <v>95.4358045170775</v>
      </c>
      <c r="D176" s="19">
        <f t="shared" si="71"/>
        <v>3.0206166863931165</v>
      </c>
      <c r="E176" s="19">
        <f t="shared" si="71"/>
        <v>0.71827291818882821</v>
      </c>
      <c r="F176" s="19">
        <f t="shared" si="71"/>
        <v>5.6112431781664789</v>
      </c>
      <c r="G176" s="19">
        <f t="shared" si="71"/>
        <v>4.7397372806457199</v>
      </c>
      <c r="H176" s="19">
        <f t="shared" si="71"/>
        <v>3.7406611452973988</v>
      </c>
      <c r="I176" s="19">
        <f t="shared" si="71"/>
        <v>2.7313107545794142</v>
      </c>
      <c r="J176" s="19">
        <f t="shared" si="71"/>
        <v>4.4864465988215327</v>
      </c>
      <c r="K176" s="19">
        <f t="shared" si="71"/>
        <v>0</v>
      </c>
      <c r="L176" s="19">
        <f t="shared" si="71"/>
        <v>2.6131623050841757</v>
      </c>
      <c r="M176" s="19">
        <f t="shared" si="71"/>
        <v>0</v>
      </c>
      <c r="N176" s="19">
        <f t="shared" si="71"/>
        <v>0.46729964879989472</v>
      </c>
      <c r="O176" s="19">
        <f t="shared" si="71"/>
        <v>0</v>
      </c>
      <c r="P176" s="62"/>
      <c r="Q176" s="39">
        <f>G176+N176</f>
        <v>5.2070369294456142</v>
      </c>
      <c r="R176" s="5">
        <f>SUM(K176:L176)</f>
        <v>2.6131623050841757</v>
      </c>
      <c r="T176" s="5">
        <f>SUM(C176:O176)</f>
        <v>123.56455503305405</v>
      </c>
    </row>
    <row r="177" spans="2:23" ht="15" x14ac:dyDescent="0.25">
      <c r="B177" s="3">
        <v>2030</v>
      </c>
      <c r="C177" s="19">
        <f t="shared" ref="C177:O177" si="72">((C$172+C$171)*C5+C$173*C35*1000)/1000000</f>
        <v>46.165478548807336</v>
      </c>
      <c r="D177" s="19">
        <f t="shared" si="72"/>
        <v>2.952687609150574</v>
      </c>
      <c r="E177" s="19">
        <f t="shared" si="72"/>
        <v>2.1123867583788716</v>
      </c>
      <c r="F177" s="19">
        <f t="shared" si="72"/>
        <v>0.86769114138497738</v>
      </c>
      <c r="G177" s="19">
        <f t="shared" si="72"/>
        <v>3.4852851537327885</v>
      </c>
      <c r="H177" s="19">
        <f t="shared" si="72"/>
        <v>3.8939417228996138</v>
      </c>
      <c r="I177" s="19">
        <f t="shared" si="72"/>
        <v>2.7701744070889314</v>
      </c>
      <c r="J177" s="19">
        <f t="shared" si="72"/>
        <v>4.4597778186073294</v>
      </c>
      <c r="K177" s="19">
        <f t="shared" si="72"/>
        <v>0</v>
      </c>
      <c r="L177" s="19">
        <f t="shared" si="72"/>
        <v>2.6035600290197918</v>
      </c>
      <c r="M177" s="19">
        <f t="shared" si="72"/>
        <v>0</v>
      </c>
      <c r="N177" s="19">
        <f t="shared" si="72"/>
        <v>0.44727095911534215</v>
      </c>
      <c r="O177" s="19">
        <f t="shared" si="72"/>
        <v>0</v>
      </c>
      <c r="P177" s="62"/>
      <c r="Q177" s="39">
        <f>G177+N177</f>
        <v>3.9325561128481308</v>
      </c>
      <c r="R177" s="5">
        <f>SUM(K177:L177)</f>
        <v>2.6035600290197918</v>
      </c>
      <c r="T177" s="5">
        <f t="shared" ref="T177:T179" si="73">SUM(C177:O177)</f>
        <v>69.758254148185557</v>
      </c>
    </row>
    <row r="178" spans="2:23" ht="15" x14ac:dyDescent="0.25">
      <c r="B178" s="3">
        <v>2040</v>
      </c>
      <c r="C178" s="19">
        <f t="shared" ref="C178:O178" si="74">((C$172+C$171)*C6+C$173*C36*1000)/1000000</f>
        <v>9.1189171029687941</v>
      </c>
      <c r="D178" s="19">
        <f t="shared" si="74"/>
        <v>2.8600233121747429</v>
      </c>
      <c r="E178" s="19">
        <f t="shared" si="74"/>
        <v>2.1561281899333786</v>
      </c>
      <c r="F178" s="19">
        <f t="shared" si="74"/>
        <v>0.36767657845195278</v>
      </c>
      <c r="G178" s="19">
        <f t="shared" si="74"/>
        <v>3.3125239098720307</v>
      </c>
      <c r="H178" s="19">
        <f t="shared" si="74"/>
        <v>0</v>
      </c>
      <c r="I178" s="19">
        <f t="shared" si="74"/>
        <v>2.7937275321731092</v>
      </c>
      <c r="J178" s="19">
        <f t="shared" si="74"/>
        <v>1.3196870304571275</v>
      </c>
      <c r="K178" s="19">
        <f t="shared" si="74"/>
        <v>0</v>
      </c>
      <c r="L178" s="19">
        <f t="shared" si="74"/>
        <v>2.7274469264276027</v>
      </c>
      <c r="M178" s="19">
        <f t="shared" si="74"/>
        <v>0</v>
      </c>
      <c r="N178" s="19">
        <f t="shared" si="74"/>
        <v>0.45009099891090321</v>
      </c>
      <c r="O178" s="19">
        <f t="shared" si="74"/>
        <v>0</v>
      </c>
      <c r="P178" s="62"/>
      <c r="Q178" s="39">
        <f>G178+N178</f>
        <v>3.7626149087829339</v>
      </c>
      <c r="R178" s="5">
        <f>SUM(K178:L178)</f>
        <v>2.7274469264276027</v>
      </c>
      <c r="T178" s="5">
        <f t="shared" si="73"/>
        <v>25.106221581369642</v>
      </c>
    </row>
    <row r="179" spans="2:23" ht="15" x14ac:dyDescent="0.25">
      <c r="B179" s="3">
        <v>2050</v>
      </c>
      <c r="C179" s="19">
        <f t="shared" ref="C179:O179" si="75">((C$172+C$171)*C7+C$173*C37*1000)/1000000</f>
        <v>0</v>
      </c>
      <c r="D179" s="19">
        <f t="shared" si="75"/>
        <v>0</v>
      </c>
      <c r="E179" s="19">
        <f t="shared" si="75"/>
        <v>2.1181894730965172</v>
      </c>
      <c r="F179" s="19">
        <f t="shared" si="75"/>
        <v>0</v>
      </c>
      <c r="G179" s="19">
        <f t="shared" si="75"/>
        <v>2.8960309411891081</v>
      </c>
      <c r="H179" s="19">
        <f t="shared" si="75"/>
        <v>0</v>
      </c>
      <c r="I179" s="19">
        <f t="shared" si="75"/>
        <v>0</v>
      </c>
      <c r="J179" s="19">
        <f t="shared" si="75"/>
        <v>0</v>
      </c>
      <c r="K179" s="19">
        <f t="shared" si="75"/>
        <v>0</v>
      </c>
      <c r="L179" s="19">
        <f t="shared" si="75"/>
        <v>2.6211125496077474</v>
      </c>
      <c r="M179" s="19">
        <f t="shared" si="75"/>
        <v>0</v>
      </c>
      <c r="N179" s="19">
        <f t="shared" si="75"/>
        <v>0.43623809534846086</v>
      </c>
      <c r="O179" s="19">
        <f t="shared" si="75"/>
        <v>0</v>
      </c>
      <c r="P179" s="62"/>
      <c r="Q179" s="39">
        <f>G179+N179</f>
        <v>3.3322690365375691</v>
      </c>
      <c r="R179" s="5">
        <f>SUM(K179:L179)</f>
        <v>2.6211125496077474</v>
      </c>
      <c r="T179" s="5">
        <f t="shared" si="73"/>
        <v>8.0715710592418333</v>
      </c>
    </row>
    <row r="180" spans="2:23" ht="15" x14ac:dyDescent="0.25">
      <c r="B180" s="43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69"/>
      <c r="Q180" s="5"/>
      <c r="R180" s="5"/>
      <c r="S180" s="5"/>
      <c r="T180" s="5"/>
    </row>
    <row r="181" spans="2:23" s="32" customFormat="1" ht="15.75" customHeight="1" x14ac:dyDescent="0.25">
      <c r="B181" s="33" t="s">
        <v>21</v>
      </c>
      <c r="C181" s="93">
        <f>Inputs_Summary!E32</f>
        <v>4602</v>
      </c>
      <c r="D181" s="93">
        <f>Inputs_Summary!F32</f>
        <v>6454.9045250562804</v>
      </c>
      <c r="E181" s="93">
        <f>Inputs_Summary!G32</f>
        <v>901.10972649676557</v>
      </c>
      <c r="F181" s="93">
        <f>Inputs_Summary!H32</f>
        <v>794.35459770843181</v>
      </c>
      <c r="G181" s="93">
        <f>Inputs_Summary!I32</f>
        <v>0</v>
      </c>
      <c r="H181" s="93">
        <f>Inputs_Summary!J32</f>
        <v>0</v>
      </c>
      <c r="I181" s="93">
        <f>Inputs_Summary!K32</f>
        <v>0</v>
      </c>
      <c r="J181" s="93">
        <f>Inputs_Summary!L32</f>
        <v>0</v>
      </c>
      <c r="K181" s="93">
        <f>Inputs_Summary!M32</f>
        <v>2810</v>
      </c>
      <c r="L181" s="93">
        <f>Inputs_Summary!N32</f>
        <v>0</v>
      </c>
      <c r="M181" s="93">
        <f>Inputs_Summary!O32</f>
        <v>0</v>
      </c>
      <c r="N181" s="93">
        <f>Inputs_Summary!P32</f>
        <v>2328.2524449730454</v>
      </c>
      <c r="O181" s="93">
        <f>Inputs_Summary!Q32</f>
        <v>0</v>
      </c>
      <c r="P181" s="99"/>
    </row>
    <row r="182" spans="2:23" s="32" customFormat="1" ht="15" x14ac:dyDescent="0.25">
      <c r="B182" s="33" t="s">
        <v>19</v>
      </c>
      <c r="C182" s="93">
        <f>Inputs_Summary!E33</f>
        <v>924</v>
      </c>
      <c r="D182" s="93">
        <f>Inputs_Summary!F33</f>
        <v>968.06859205776175</v>
      </c>
      <c r="E182" s="93">
        <f>Inputs_Summary!G33</f>
        <v>165.17328519855596</v>
      </c>
      <c r="F182" s="93">
        <f>Inputs_Summary!H33</f>
        <v>160.79783393501805</v>
      </c>
      <c r="G182" s="93">
        <f>Inputs_Summary!I33</f>
        <v>0</v>
      </c>
      <c r="H182" s="93">
        <f>Inputs_Summary!J33</f>
        <v>0</v>
      </c>
      <c r="I182" s="93">
        <f>Inputs_Summary!K33</f>
        <v>0</v>
      </c>
      <c r="J182" s="93">
        <f>Inputs_Summary!L33</f>
        <v>0</v>
      </c>
      <c r="K182" s="93">
        <f>Inputs_Summary!M33</f>
        <v>2373</v>
      </c>
      <c r="L182" s="93">
        <f>Inputs_Summary!N33</f>
        <v>0</v>
      </c>
      <c r="M182" s="93">
        <f>Inputs_Summary!O33</f>
        <v>0</v>
      </c>
      <c r="N182" s="93">
        <f>Inputs_Summary!P33</f>
        <v>201.27075812274367</v>
      </c>
      <c r="O182" s="93">
        <f>Inputs_Summary!Q33</f>
        <v>0</v>
      </c>
      <c r="P182" s="99"/>
    </row>
    <row r="183" spans="2:23" s="32" customFormat="1" ht="15" x14ac:dyDescent="0.25">
      <c r="B183" s="33" t="s">
        <v>20</v>
      </c>
      <c r="C183" s="93">
        <f>Inputs_Summary!E34</f>
        <v>0.36168632057761729</v>
      </c>
      <c r="D183" s="93">
        <f>Inputs_Summary!F34</f>
        <v>0.12287246155234656</v>
      </c>
      <c r="E183" s="93">
        <f>Inputs_Summary!G34</f>
        <v>1.1311272563176895</v>
      </c>
      <c r="F183" s="93">
        <f>Inputs_Summary!H34</f>
        <v>1.730256498194946</v>
      </c>
      <c r="G183" s="93">
        <f>Inputs_Summary!I34</f>
        <v>1.24</v>
      </c>
      <c r="H183" s="93">
        <f>Inputs_Summary!J34</f>
        <v>0.70507456548359604</v>
      </c>
      <c r="I183" s="93">
        <f>Inputs_Summary!K34</f>
        <v>2.2907692307692309</v>
      </c>
      <c r="J183" s="93">
        <f>Inputs_Summary!L34</f>
        <v>0.79657730380457292</v>
      </c>
      <c r="K183" s="93">
        <f>Inputs_Summary!M34</f>
        <v>0.09</v>
      </c>
      <c r="L183" s="93">
        <f>Inputs_Summary!N34</f>
        <v>1.61</v>
      </c>
      <c r="M183" s="93">
        <f>Inputs_Summary!O34</f>
        <v>1.51</v>
      </c>
      <c r="N183" s="93">
        <f>Inputs_Summary!P34</f>
        <v>0</v>
      </c>
      <c r="O183" s="93">
        <f>Inputs_Summary!Q34</f>
        <v>0</v>
      </c>
      <c r="P183" s="99"/>
    </row>
    <row r="184" spans="2:23" s="58" customFormat="1" ht="15" x14ac:dyDescent="0.25">
      <c r="B184" s="67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</row>
    <row r="185" spans="2:23" ht="30" x14ac:dyDescent="0.25">
      <c r="B185" s="43" t="s">
        <v>46</v>
      </c>
      <c r="C185" s="43" t="s">
        <v>0</v>
      </c>
      <c r="D185" s="43" t="s">
        <v>1</v>
      </c>
      <c r="E185" s="43" t="s">
        <v>28</v>
      </c>
      <c r="F185" s="2" t="s">
        <v>29</v>
      </c>
      <c r="G185" s="2" t="s">
        <v>6</v>
      </c>
      <c r="H185" s="43" t="s">
        <v>2</v>
      </c>
      <c r="I185" s="43" t="s">
        <v>3</v>
      </c>
      <c r="J185" s="43" t="s">
        <v>4</v>
      </c>
      <c r="K185" s="43" t="s">
        <v>9</v>
      </c>
      <c r="L185" s="43" t="s">
        <v>8</v>
      </c>
      <c r="M185" s="43" t="s">
        <v>25</v>
      </c>
      <c r="N185" s="43" t="s">
        <v>7</v>
      </c>
      <c r="O185" s="43" t="s">
        <v>89</v>
      </c>
      <c r="P185" s="25"/>
      <c r="Q185" s="43" t="s">
        <v>5</v>
      </c>
      <c r="R185" s="43" t="s">
        <v>91</v>
      </c>
      <c r="T185" s="43" t="s">
        <v>10</v>
      </c>
    </row>
    <row r="186" spans="2:23" ht="15" x14ac:dyDescent="0.25">
      <c r="B186" s="3">
        <v>2016</v>
      </c>
      <c r="C186" s="19">
        <f t="shared" ref="C186:O186" si="76">((C$182+C$181)*C10+C$183*C40*1000)/1000000</f>
        <v>3.9897719999999999</v>
      </c>
      <c r="D186" s="19">
        <f t="shared" si="76"/>
        <v>0</v>
      </c>
      <c r="E186" s="19">
        <f t="shared" si="76"/>
        <v>0</v>
      </c>
      <c r="F186" s="19">
        <f t="shared" si="76"/>
        <v>0</v>
      </c>
      <c r="G186" s="19">
        <f t="shared" si="76"/>
        <v>0</v>
      </c>
      <c r="H186" s="19">
        <f t="shared" si="76"/>
        <v>0</v>
      </c>
      <c r="I186" s="19">
        <f t="shared" si="76"/>
        <v>0</v>
      </c>
      <c r="J186" s="19">
        <f t="shared" si="76"/>
        <v>0</v>
      </c>
      <c r="K186" s="19">
        <f t="shared" si="76"/>
        <v>0</v>
      </c>
      <c r="L186" s="19">
        <f t="shared" si="76"/>
        <v>0</v>
      </c>
      <c r="M186" s="19">
        <f t="shared" si="76"/>
        <v>0</v>
      </c>
      <c r="N186" s="19">
        <f t="shared" si="76"/>
        <v>0</v>
      </c>
      <c r="O186" s="19">
        <f t="shared" si="76"/>
        <v>0</v>
      </c>
      <c r="P186" s="62"/>
      <c r="Q186" s="39">
        <f>G186+N186</f>
        <v>0</v>
      </c>
      <c r="R186" s="5">
        <f>SUM(K186:L186)</f>
        <v>0</v>
      </c>
      <c r="T186" s="5">
        <f>SUM(C186:O186)</f>
        <v>3.9897719999999999</v>
      </c>
    </row>
    <row r="187" spans="2:23" ht="15" x14ac:dyDescent="0.25">
      <c r="B187" s="3">
        <v>2030</v>
      </c>
      <c r="C187" s="19">
        <f t="shared" ref="C187:O187" si="77">((C$182+C$181)*C11+C$183*C41*1000)/1000000</f>
        <v>41.151393141258062</v>
      </c>
      <c r="D187" s="19">
        <f t="shared" si="77"/>
        <v>0</v>
      </c>
      <c r="E187" s="19">
        <f t="shared" si="77"/>
        <v>0</v>
      </c>
      <c r="F187" s="19">
        <f t="shared" si="77"/>
        <v>0</v>
      </c>
      <c r="G187" s="19">
        <f t="shared" si="77"/>
        <v>0.24157299848114533</v>
      </c>
      <c r="H187" s="19">
        <f t="shared" si="77"/>
        <v>6.330088038323372</v>
      </c>
      <c r="I187" s="19">
        <f t="shared" si="77"/>
        <v>9.6522791528486316</v>
      </c>
      <c r="J187" s="19">
        <f t="shared" si="77"/>
        <v>1.882553380330428</v>
      </c>
      <c r="K187" s="19">
        <f t="shared" si="77"/>
        <v>0.30655309872726805</v>
      </c>
      <c r="L187" s="19">
        <f t="shared" si="77"/>
        <v>1.6520272028372398</v>
      </c>
      <c r="M187" s="19">
        <f t="shared" si="77"/>
        <v>0</v>
      </c>
      <c r="N187" s="19">
        <f t="shared" si="77"/>
        <v>3.3693249065235911</v>
      </c>
      <c r="O187" s="19">
        <f t="shared" si="77"/>
        <v>0</v>
      </c>
      <c r="P187" s="62"/>
      <c r="Q187" s="39">
        <f>G187+N187</f>
        <v>3.6108979050047365</v>
      </c>
      <c r="R187" s="5">
        <f>SUM(K187:L187)</f>
        <v>1.9585803015645078</v>
      </c>
      <c r="T187" s="5">
        <f t="shared" ref="T187:T189" si="78">SUM(C187:O187)</f>
        <v>64.58579191932975</v>
      </c>
    </row>
    <row r="188" spans="2:23" ht="15" x14ac:dyDescent="0.25">
      <c r="B188" s="3">
        <v>2040</v>
      </c>
      <c r="C188" s="19">
        <f t="shared" ref="C188:O188" si="79">((C$182+C$181)*C12+C$183*C42*1000)/1000000</f>
        <v>40.739600134228859</v>
      </c>
      <c r="D188" s="19">
        <f t="shared" si="79"/>
        <v>0</v>
      </c>
      <c r="E188" s="19">
        <f t="shared" si="79"/>
        <v>0</v>
      </c>
      <c r="F188" s="19">
        <f t="shared" si="79"/>
        <v>0</v>
      </c>
      <c r="G188" s="19">
        <f t="shared" si="79"/>
        <v>0.24531858138655135</v>
      </c>
      <c r="H188" s="19">
        <f t="shared" si="79"/>
        <v>0</v>
      </c>
      <c r="I188" s="19">
        <f t="shared" si="79"/>
        <v>9.6920430278943108</v>
      </c>
      <c r="J188" s="19">
        <f t="shared" si="79"/>
        <v>1.893514867591797</v>
      </c>
      <c r="K188" s="19">
        <f t="shared" si="79"/>
        <v>0.30705598662303374</v>
      </c>
      <c r="L188" s="19">
        <f t="shared" si="79"/>
        <v>1.6491819811404724</v>
      </c>
      <c r="M188" s="19">
        <f t="shared" si="79"/>
        <v>0</v>
      </c>
      <c r="N188" s="19">
        <f t="shared" si="79"/>
        <v>3.3693249065235911</v>
      </c>
      <c r="O188" s="19">
        <f t="shared" si="79"/>
        <v>0</v>
      </c>
      <c r="P188" s="62"/>
      <c r="Q188" s="39">
        <f>G188+N188</f>
        <v>3.6146434879101426</v>
      </c>
      <c r="R188" s="5">
        <f>SUM(K188:L188)</f>
        <v>1.9562379677635062</v>
      </c>
      <c r="T188" s="5">
        <f t="shared" si="78"/>
        <v>57.896039485388613</v>
      </c>
    </row>
    <row r="189" spans="2:23" ht="15" x14ac:dyDescent="0.25">
      <c r="B189" s="3">
        <v>2050</v>
      </c>
      <c r="C189" s="19">
        <f t="shared" ref="C189:O189" si="80">((C$182+C$181)*C13+C$183*C43*1000)/1000000</f>
        <v>0</v>
      </c>
      <c r="D189" s="19">
        <f t="shared" si="80"/>
        <v>0</v>
      </c>
      <c r="E189" s="19">
        <f t="shared" si="80"/>
        <v>0</v>
      </c>
      <c r="F189" s="19">
        <f t="shared" si="80"/>
        <v>0</v>
      </c>
      <c r="G189" s="19">
        <f t="shared" si="80"/>
        <v>0.23975855286532924</v>
      </c>
      <c r="H189" s="19">
        <f t="shared" si="80"/>
        <v>0</v>
      </c>
      <c r="I189" s="19">
        <f t="shared" si="80"/>
        <v>0</v>
      </c>
      <c r="J189" s="19">
        <f t="shared" si="80"/>
        <v>0</v>
      </c>
      <c r="K189" s="19">
        <f t="shared" si="80"/>
        <v>0</v>
      </c>
      <c r="L189" s="19">
        <f t="shared" si="80"/>
        <v>0</v>
      </c>
      <c r="M189" s="19">
        <f t="shared" si="80"/>
        <v>0</v>
      </c>
      <c r="N189" s="19">
        <f t="shared" si="80"/>
        <v>3.3693249065235911</v>
      </c>
      <c r="O189" s="19">
        <f t="shared" si="80"/>
        <v>0</v>
      </c>
      <c r="P189" s="62"/>
      <c r="Q189" s="39">
        <f>G189+N189</f>
        <v>3.6090834593889203</v>
      </c>
      <c r="R189" s="5">
        <f>SUM(K189:L189)</f>
        <v>0</v>
      </c>
      <c r="T189" s="5">
        <f t="shared" si="78"/>
        <v>3.6090834593889203</v>
      </c>
    </row>
    <row r="190" spans="2:23" ht="15" x14ac:dyDescent="0.25"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69"/>
      <c r="Q190" s="5"/>
      <c r="R190" s="5"/>
      <c r="S190" s="5"/>
      <c r="T190" s="5"/>
    </row>
    <row r="191" spans="2:23" ht="15" x14ac:dyDescent="0.25">
      <c r="Q191" s="5"/>
      <c r="R191" s="5"/>
      <c r="S191" s="5"/>
      <c r="T191" s="5"/>
      <c r="W191" s="5"/>
    </row>
    <row r="192" spans="2:23" ht="15" x14ac:dyDescent="0.25">
      <c r="B192" s="33" t="s">
        <v>21</v>
      </c>
      <c r="C192" s="95">
        <f>Inputs_Summary!E37</f>
        <v>3559.4976938012715</v>
      </c>
      <c r="D192" s="95">
        <f>Inputs_Summary!F37</f>
        <v>6454.9045250562804</v>
      </c>
      <c r="E192" s="95">
        <f>Inputs_Summary!G37</f>
        <v>901.10972649676557</v>
      </c>
      <c r="F192" s="95">
        <f>Inputs_Summary!H37</f>
        <v>794.35459770843181</v>
      </c>
      <c r="G192" s="95">
        <f>Inputs_Summary!I37</f>
        <v>5564</v>
      </c>
      <c r="H192" s="95">
        <f>Inputs_Summary!J37</f>
        <v>1911</v>
      </c>
      <c r="I192" s="95">
        <f>Inputs_Summary!K37</f>
        <v>10206</v>
      </c>
      <c r="J192" s="95">
        <f>Inputs_Summary!L37</f>
        <v>1073</v>
      </c>
      <c r="K192" s="95">
        <f>Inputs_Summary!M37</f>
        <v>1154.0789960129314</v>
      </c>
      <c r="L192" s="95">
        <f>Inputs_Summary!N37</f>
        <v>4395</v>
      </c>
      <c r="M192" s="95">
        <f>Inputs_Summary!O37</f>
        <v>0</v>
      </c>
      <c r="N192" s="95">
        <f>Inputs_Summary!P37</f>
        <v>2328.2524449730454</v>
      </c>
      <c r="O192" s="95">
        <f>Inputs_Summary!Q37</f>
        <v>2512</v>
      </c>
      <c r="P192" s="101"/>
      <c r="Q192" s="5"/>
      <c r="R192" s="5"/>
      <c r="S192" s="5"/>
      <c r="T192" s="5"/>
    </row>
    <row r="193" spans="1:20" ht="15" x14ac:dyDescent="0.25">
      <c r="B193" s="3">
        <v>2030</v>
      </c>
      <c r="C193" s="95">
        <f>Inputs_Summary!E38</f>
        <v>3559.4976938012715</v>
      </c>
      <c r="D193" s="95">
        <f>Inputs_Summary!F38</f>
        <v>6281</v>
      </c>
      <c r="E193" s="95">
        <f>Inputs_Summary!G38</f>
        <v>901.10972649676557</v>
      </c>
      <c r="F193" s="95">
        <f>Inputs_Summary!H38</f>
        <v>794.35459770843181</v>
      </c>
      <c r="G193" s="95">
        <f>Inputs_Summary!I38</f>
        <v>5564</v>
      </c>
      <c r="H193" s="95">
        <f>Inputs_Summary!J38</f>
        <v>1911</v>
      </c>
      <c r="I193" s="95">
        <f>Inputs_Summary!K38</f>
        <v>8246</v>
      </c>
      <c r="J193" s="95">
        <f>Inputs_Summary!L38</f>
        <v>967</v>
      </c>
      <c r="K193" s="95">
        <f>Inputs_Summary!M38</f>
        <v>1154.0789960129314</v>
      </c>
      <c r="L193" s="95">
        <f>Inputs_Summary!N38</f>
        <v>4395</v>
      </c>
      <c r="M193" s="95">
        <f>Inputs_Summary!O38</f>
        <v>0</v>
      </c>
      <c r="N193" s="95">
        <f>Inputs_Summary!P38</f>
        <v>2328.2524449730454</v>
      </c>
      <c r="O193" s="95">
        <f>Inputs_Summary!Q38</f>
        <v>2512</v>
      </c>
      <c r="P193" s="101"/>
      <c r="Q193" s="5"/>
      <c r="R193" s="5"/>
      <c r="S193" s="5"/>
      <c r="T193" s="5"/>
    </row>
    <row r="194" spans="1:20" ht="15" x14ac:dyDescent="0.25">
      <c r="B194" s="3">
        <v>2040</v>
      </c>
      <c r="C194" s="95">
        <f>Inputs_Summary!E39</f>
        <v>3559.4976938012715</v>
      </c>
      <c r="D194" s="95">
        <f>Inputs_Summary!F39</f>
        <v>6281</v>
      </c>
      <c r="E194" s="95">
        <f>Inputs_Summary!G39</f>
        <v>901.10972649676557</v>
      </c>
      <c r="F194" s="95">
        <f>Inputs_Summary!H39</f>
        <v>794.35459770843181</v>
      </c>
      <c r="G194" s="95">
        <f>Inputs_Summary!I39</f>
        <v>5564</v>
      </c>
      <c r="H194" s="95">
        <f>Inputs_Summary!J39</f>
        <v>1911</v>
      </c>
      <c r="I194" s="95">
        <f>Inputs_Summary!K39</f>
        <v>7196</v>
      </c>
      <c r="J194" s="95">
        <f>Inputs_Summary!L39</f>
        <v>911</v>
      </c>
      <c r="K194" s="95">
        <f>Inputs_Summary!M39</f>
        <v>1154.0789960129314</v>
      </c>
      <c r="L194" s="95">
        <f>Inputs_Summary!N39</f>
        <v>4395</v>
      </c>
      <c r="M194" s="95">
        <f>Inputs_Summary!O39</f>
        <v>0</v>
      </c>
      <c r="N194" s="95">
        <f>Inputs_Summary!P39</f>
        <v>2328.2524449730454</v>
      </c>
      <c r="O194" s="95">
        <f>Inputs_Summary!Q39</f>
        <v>2512</v>
      </c>
      <c r="P194" s="101"/>
      <c r="Q194" s="5"/>
      <c r="R194" s="5"/>
      <c r="S194" s="5"/>
      <c r="T194" s="5"/>
    </row>
    <row r="195" spans="1:20" ht="15" x14ac:dyDescent="0.25">
      <c r="B195" s="3">
        <v>2050</v>
      </c>
      <c r="C195" s="95">
        <f>Inputs_Summary!E40</f>
        <v>3559.4976938012715</v>
      </c>
      <c r="D195" s="95">
        <f>Inputs_Summary!F40</f>
        <v>6281</v>
      </c>
      <c r="E195" s="95">
        <f>Inputs_Summary!G40</f>
        <v>901.10972649676557</v>
      </c>
      <c r="F195" s="95">
        <f>Inputs_Summary!H40</f>
        <v>794.35459770843181</v>
      </c>
      <c r="G195" s="95">
        <f>Inputs_Summary!I40</f>
        <v>5564</v>
      </c>
      <c r="H195" s="95">
        <f>Inputs_Summary!J40</f>
        <v>1911</v>
      </c>
      <c r="I195" s="95">
        <f>Inputs_Summary!K40</f>
        <v>6146</v>
      </c>
      <c r="J195" s="95">
        <f>Inputs_Summary!L40</f>
        <v>854</v>
      </c>
      <c r="K195" s="95">
        <f>Inputs_Summary!M40</f>
        <v>1154.0789960129314</v>
      </c>
      <c r="L195" s="95">
        <f>Inputs_Summary!N40</f>
        <v>4395</v>
      </c>
      <c r="M195" s="95">
        <f>Inputs_Summary!O40</f>
        <v>0</v>
      </c>
      <c r="N195" s="95">
        <f>Inputs_Summary!P40</f>
        <v>2328.2524449730454</v>
      </c>
      <c r="O195" s="95">
        <f>Inputs_Summary!Q40</f>
        <v>2512</v>
      </c>
      <c r="P195" s="101"/>
      <c r="Q195" s="5"/>
      <c r="R195" s="5"/>
      <c r="S195" s="5"/>
      <c r="T195" s="5"/>
    </row>
    <row r="196" spans="1:20" s="32" customFormat="1" ht="15" x14ac:dyDescent="0.25">
      <c r="B196" s="33" t="s">
        <v>19</v>
      </c>
      <c r="C196" s="95">
        <f>Inputs_Summary!E41</f>
        <v>924</v>
      </c>
      <c r="D196" s="95">
        <f>Inputs_Summary!F41</f>
        <v>968.06859205776175</v>
      </c>
      <c r="E196" s="95">
        <f>Inputs_Summary!G41</f>
        <v>165.17328519855596</v>
      </c>
      <c r="F196" s="95">
        <f>Inputs_Summary!H41</f>
        <v>160.79783393501805</v>
      </c>
      <c r="G196" s="95">
        <f>Inputs_Summary!I41</f>
        <v>907.42483754512637</v>
      </c>
      <c r="H196" s="95">
        <f>Inputs_Summary!J41</f>
        <v>0</v>
      </c>
      <c r="I196" s="95">
        <f>Inputs_Summary!K41</f>
        <v>0</v>
      </c>
      <c r="J196" s="95">
        <f>Inputs_Summary!L41</f>
        <v>0</v>
      </c>
      <c r="K196" s="95">
        <f>Inputs_Summary!M41</f>
        <v>422</v>
      </c>
      <c r="L196" s="95">
        <f>Inputs_Summary!N41</f>
        <v>1655.0144404332129</v>
      </c>
      <c r="M196" s="95">
        <f>Inputs_Summary!O41</f>
        <v>0</v>
      </c>
      <c r="N196" s="95">
        <f>Inputs_Summary!P41</f>
        <v>201.27075812274367</v>
      </c>
      <c r="O196" s="95">
        <f>Inputs_Summary!Q41</f>
        <v>618</v>
      </c>
      <c r="P196" s="101"/>
    </row>
    <row r="197" spans="1:20" ht="15" x14ac:dyDescent="0.25">
      <c r="B197" s="3">
        <v>2030</v>
      </c>
      <c r="C197" s="95">
        <f>Inputs_Summary!E42</f>
        <v>924</v>
      </c>
      <c r="D197" s="95">
        <f>Inputs_Summary!F42</f>
        <v>968.06859205776175</v>
      </c>
      <c r="E197" s="95">
        <f>Inputs_Summary!G42</f>
        <v>165.17328519855596</v>
      </c>
      <c r="F197" s="95">
        <f>Inputs_Summary!H42</f>
        <v>160.79783393501805</v>
      </c>
      <c r="G197" s="95">
        <f>Inputs_Summary!I42</f>
        <v>907.42483754512637</v>
      </c>
      <c r="H197" s="95">
        <f>Inputs_Summary!J42</f>
        <v>0</v>
      </c>
      <c r="I197" s="95">
        <f>Inputs_Summary!K42</f>
        <v>0</v>
      </c>
      <c r="J197" s="95">
        <f>Inputs_Summary!L42</f>
        <v>0</v>
      </c>
      <c r="K197" s="95">
        <f>Inputs_Summary!M42</f>
        <v>422</v>
      </c>
      <c r="L197" s="95">
        <f>Inputs_Summary!N42</f>
        <v>1655.0144404332129</v>
      </c>
      <c r="M197" s="95">
        <f>Inputs_Summary!O42</f>
        <v>0</v>
      </c>
      <c r="N197" s="95">
        <f>Inputs_Summary!P42</f>
        <v>201.27075812274367</v>
      </c>
      <c r="O197" s="95">
        <f>Inputs_Summary!Q42</f>
        <v>618</v>
      </c>
      <c r="P197" s="101"/>
      <c r="Q197" s="5"/>
      <c r="R197" s="5"/>
      <c r="S197" s="5"/>
      <c r="T197" s="5"/>
    </row>
    <row r="198" spans="1:20" ht="15" x14ac:dyDescent="0.25">
      <c r="B198" s="3">
        <v>2040</v>
      </c>
      <c r="C198" s="95">
        <f>Inputs_Summary!E43</f>
        <v>924</v>
      </c>
      <c r="D198" s="95">
        <f>Inputs_Summary!F43</f>
        <v>968.06859205776175</v>
      </c>
      <c r="E198" s="95">
        <f>Inputs_Summary!G43</f>
        <v>165.17328519855596</v>
      </c>
      <c r="F198" s="95">
        <f>Inputs_Summary!H43</f>
        <v>160.79783393501805</v>
      </c>
      <c r="G198" s="95">
        <f>Inputs_Summary!I43</f>
        <v>907.42483754512637</v>
      </c>
      <c r="H198" s="95">
        <f>Inputs_Summary!J43</f>
        <v>0</v>
      </c>
      <c r="I198" s="95">
        <f>Inputs_Summary!K43</f>
        <v>0</v>
      </c>
      <c r="J198" s="95">
        <f>Inputs_Summary!L43</f>
        <v>0</v>
      </c>
      <c r="K198" s="95">
        <f>Inputs_Summary!M43</f>
        <v>422</v>
      </c>
      <c r="L198" s="95">
        <f>Inputs_Summary!N43</f>
        <v>1655.0144404332129</v>
      </c>
      <c r="M198" s="95">
        <f>Inputs_Summary!O43</f>
        <v>0</v>
      </c>
      <c r="N198" s="95">
        <f>Inputs_Summary!P43</f>
        <v>201.27075812274367</v>
      </c>
      <c r="O198" s="95">
        <f>Inputs_Summary!Q43</f>
        <v>618</v>
      </c>
      <c r="P198" s="101"/>
      <c r="Q198" s="5"/>
      <c r="R198" s="5"/>
      <c r="S198" s="5"/>
      <c r="T198" s="5"/>
    </row>
    <row r="199" spans="1:20" ht="15" x14ac:dyDescent="0.25">
      <c r="B199" s="3">
        <v>2050</v>
      </c>
      <c r="C199" s="95">
        <f>Inputs_Summary!E44</f>
        <v>924</v>
      </c>
      <c r="D199" s="95">
        <f>Inputs_Summary!F44</f>
        <v>968.06859205776175</v>
      </c>
      <c r="E199" s="95">
        <f>Inputs_Summary!G44</f>
        <v>165.17328519855596</v>
      </c>
      <c r="F199" s="95">
        <f>Inputs_Summary!H44</f>
        <v>160.79783393501805</v>
      </c>
      <c r="G199" s="95">
        <f>Inputs_Summary!I44</f>
        <v>907.42483754512637</v>
      </c>
      <c r="H199" s="95">
        <f>Inputs_Summary!J44</f>
        <v>0</v>
      </c>
      <c r="I199" s="95">
        <f>Inputs_Summary!K44</f>
        <v>0</v>
      </c>
      <c r="J199" s="95">
        <f>Inputs_Summary!L44</f>
        <v>0</v>
      </c>
      <c r="K199" s="95">
        <f>Inputs_Summary!M44</f>
        <v>422</v>
      </c>
      <c r="L199" s="95">
        <f>Inputs_Summary!N44</f>
        <v>1655.0144404332129</v>
      </c>
      <c r="M199" s="95">
        <f>Inputs_Summary!O44</f>
        <v>0</v>
      </c>
      <c r="N199" s="95">
        <f>Inputs_Summary!P44</f>
        <v>201.27075812274367</v>
      </c>
      <c r="O199" s="95">
        <f>Inputs_Summary!Q44</f>
        <v>618</v>
      </c>
      <c r="P199" s="101"/>
      <c r="Q199" s="5"/>
      <c r="R199" s="5"/>
      <c r="S199" s="5"/>
      <c r="T199" s="5"/>
    </row>
    <row r="200" spans="1:20" s="32" customFormat="1" ht="15" x14ac:dyDescent="0.25">
      <c r="B200" s="33" t="s">
        <v>20</v>
      </c>
      <c r="C200" s="94">
        <f>Inputs_Summary!E45</f>
        <v>0.36168632057761729</v>
      </c>
      <c r="D200" s="94">
        <f>Inputs_Summary!F45</f>
        <v>0.12287246155234656</v>
      </c>
      <c r="E200" s="94">
        <f>Inputs_Summary!G45</f>
        <v>1.1311272563176895</v>
      </c>
      <c r="F200" s="94">
        <f>Inputs_Summary!H45</f>
        <v>1.7302564981949458</v>
      </c>
      <c r="G200" s="94">
        <f>Inputs_Summary!I45</f>
        <v>0</v>
      </c>
      <c r="H200" s="94">
        <f>Inputs_Summary!J45</f>
        <v>0</v>
      </c>
      <c r="I200" s="94">
        <f>Inputs_Summary!K45</f>
        <v>0</v>
      </c>
      <c r="J200" s="94">
        <f>Inputs_Summary!L45</f>
        <v>0</v>
      </c>
      <c r="K200" s="94">
        <f>Inputs_Summary!M45</f>
        <v>1.42</v>
      </c>
      <c r="L200" s="94">
        <f>Inputs_Summary!N45</f>
        <v>0.46</v>
      </c>
      <c r="M200" s="94">
        <f>Inputs_Summary!O45</f>
        <v>1.51</v>
      </c>
      <c r="N200" s="94">
        <f>Inputs_Summary!P45</f>
        <v>0</v>
      </c>
      <c r="O200" s="94">
        <f>Inputs_Summary!Q45</f>
        <v>3.2000000000000001E-2</v>
      </c>
      <c r="P200" s="100"/>
    </row>
    <row r="201" spans="1:20" ht="15" x14ac:dyDescent="0.25">
      <c r="B201" s="3">
        <v>2030</v>
      </c>
      <c r="C201" s="94">
        <f>Inputs_Summary!E46</f>
        <v>0.36168632057761729</v>
      </c>
      <c r="D201" s="94">
        <f>Inputs_Summary!F46</f>
        <v>0.12287246155234656</v>
      </c>
      <c r="E201" s="94">
        <f>Inputs_Summary!G46</f>
        <v>1.1311272563176895</v>
      </c>
      <c r="F201" s="94">
        <f>Inputs_Summary!H46</f>
        <v>1.7302564981949458</v>
      </c>
      <c r="G201" s="94">
        <f>Inputs_Summary!I46</f>
        <v>0</v>
      </c>
      <c r="H201" s="94">
        <f>Inputs_Summary!J46</f>
        <v>0</v>
      </c>
      <c r="I201" s="94">
        <f>Inputs_Summary!K46</f>
        <v>0</v>
      </c>
      <c r="J201" s="94">
        <f>Inputs_Summary!L46</f>
        <v>0</v>
      </c>
      <c r="K201" s="94">
        <f>Inputs_Summary!M46</f>
        <v>1.42</v>
      </c>
      <c r="L201" s="94">
        <f>Inputs_Summary!N46</f>
        <v>0.46</v>
      </c>
      <c r="M201" s="94">
        <f>Inputs_Summary!O46</f>
        <v>1.51</v>
      </c>
      <c r="N201" s="94">
        <f>Inputs_Summary!P46</f>
        <v>0</v>
      </c>
      <c r="O201" s="94">
        <f>Inputs_Summary!Q46</f>
        <v>3.2000000000000001E-2</v>
      </c>
      <c r="P201" s="100"/>
      <c r="Q201" s="5"/>
      <c r="R201" s="5"/>
      <c r="S201" s="5"/>
      <c r="T201" s="5"/>
    </row>
    <row r="202" spans="1:20" ht="15" x14ac:dyDescent="0.25">
      <c r="B202" s="3">
        <v>2040</v>
      </c>
      <c r="C202" s="94">
        <f>Inputs_Summary!E47</f>
        <v>0.36168632057761729</v>
      </c>
      <c r="D202" s="94">
        <f>Inputs_Summary!F47</f>
        <v>0.12287246155234656</v>
      </c>
      <c r="E202" s="94">
        <f>Inputs_Summary!G47</f>
        <v>1.1311272563176895</v>
      </c>
      <c r="F202" s="94">
        <f>Inputs_Summary!H47</f>
        <v>1.7302564981949458</v>
      </c>
      <c r="G202" s="94">
        <f>Inputs_Summary!I47</f>
        <v>0</v>
      </c>
      <c r="H202" s="94">
        <f>Inputs_Summary!J47</f>
        <v>0</v>
      </c>
      <c r="I202" s="94">
        <f>Inputs_Summary!K47</f>
        <v>0</v>
      </c>
      <c r="J202" s="94">
        <f>Inputs_Summary!L47</f>
        <v>0</v>
      </c>
      <c r="K202" s="94">
        <f>Inputs_Summary!M47</f>
        <v>1.42</v>
      </c>
      <c r="L202" s="94">
        <f>Inputs_Summary!N47</f>
        <v>0.46</v>
      </c>
      <c r="M202" s="94">
        <f>Inputs_Summary!O47</f>
        <v>1.51</v>
      </c>
      <c r="N202" s="94">
        <f>Inputs_Summary!P47</f>
        <v>0</v>
      </c>
      <c r="O202" s="94">
        <f>Inputs_Summary!Q47</f>
        <v>3.2000000000000001E-2</v>
      </c>
      <c r="P202" s="100"/>
      <c r="Q202" s="5"/>
      <c r="R202" s="5"/>
      <c r="S202" s="5"/>
      <c r="T202" s="5"/>
    </row>
    <row r="203" spans="1:20" ht="15" x14ac:dyDescent="0.25">
      <c r="B203" s="3">
        <v>2050</v>
      </c>
      <c r="C203" s="94">
        <f>Inputs_Summary!E48</f>
        <v>0.36168632057761729</v>
      </c>
      <c r="D203" s="94">
        <f>Inputs_Summary!F48</f>
        <v>0.12287246155234656</v>
      </c>
      <c r="E203" s="94">
        <f>Inputs_Summary!G48</f>
        <v>1.1311272563176895</v>
      </c>
      <c r="F203" s="94">
        <f>Inputs_Summary!H48</f>
        <v>1.7302564981949458</v>
      </c>
      <c r="G203" s="94">
        <f>Inputs_Summary!I48</f>
        <v>0</v>
      </c>
      <c r="H203" s="94">
        <f>Inputs_Summary!J48</f>
        <v>0</v>
      </c>
      <c r="I203" s="94">
        <f>Inputs_Summary!K48</f>
        <v>0</v>
      </c>
      <c r="J203" s="94">
        <f>Inputs_Summary!L48</f>
        <v>0</v>
      </c>
      <c r="K203" s="94">
        <f>Inputs_Summary!M48</f>
        <v>1.42</v>
      </c>
      <c r="L203" s="94">
        <f>Inputs_Summary!N48</f>
        <v>0.46</v>
      </c>
      <c r="M203" s="94">
        <f>Inputs_Summary!O48</f>
        <v>1.51</v>
      </c>
      <c r="N203" s="94">
        <f>Inputs_Summary!P48</f>
        <v>0</v>
      </c>
      <c r="O203" s="94">
        <f>Inputs_Summary!Q48</f>
        <v>3.2000000000000001E-2</v>
      </c>
      <c r="P203" s="100"/>
      <c r="Q203" s="5"/>
      <c r="R203" s="5"/>
      <c r="S203" s="5"/>
      <c r="T203" s="5"/>
    </row>
    <row r="204" spans="1:20" s="58" customFormat="1" ht="15" x14ac:dyDescent="0.25">
      <c r="B204" s="67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</row>
    <row r="205" spans="1:20" ht="30" x14ac:dyDescent="0.25">
      <c r="B205" s="43" t="s">
        <v>22</v>
      </c>
      <c r="C205" s="43" t="s">
        <v>0</v>
      </c>
      <c r="D205" s="43" t="s">
        <v>1</v>
      </c>
      <c r="E205" s="43" t="s">
        <v>28</v>
      </c>
      <c r="F205" s="2" t="s">
        <v>29</v>
      </c>
      <c r="G205" s="2" t="s">
        <v>6</v>
      </c>
      <c r="H205" s="43" t="s">
        <v>2</v>
      </c>
      <c r="I205" s="43" t="s">
        <v>3</v>
      </c>
      <c r="J205" s="43" t="s">
        <v>4</v>
      </c>
      <c r="K205" s="43" t="s">
        <v>9</v>
      </c>
      <c r="L205" s="43" t="s">
        <v>8</v>
      </c>
      <c r="M205" s="43" t="s">
        <v>25</v>
      </c>
      <c r="N205" s="43" t="s">
        <v>7</v>
      </c>
      <c r="O205" s="43" t="s">
        <v>89</v>
      </c>
      <c r="P205" s="25"/>
      <c r="Q205" s="43" t="s">
        <v>5</v>
      </c>
      <c r="R205" s="43" t="s">
        <v>91</v>
      </c>
      <c r="T205" s="43" t="s">
        <v>10</v>
      </c>
    </row>
    <row r="206" spans="1:20" ht="15" x14ac:dyDescent="0.25">
      <c r="A206" s="15">
        <f>C176+C186</f>
        <v>99.425576517077502</v>
      </c>
      <c r="B206" s="3">
        <v>2016</v>
      </c>
      <c r="C206" s="19">
        <f t="shared" ref="C206:O206" si="81">((C196+C192)*C16+C200*C46*1000)/1000000</f>
        <v>0</v>
      </c>
      <c r="D206" s="19">
        <f t="shared" si="81"/>
        <v>0</v>
      </c>
      <c r="E206" s="19">
        <f t="shared" si="81"/>
        <v>0</v>
      </c>
      <c r="F206" s="19">
        <f t="shared" si="81"/>
        <v>0</v>
      </c>
      <c r="G206" s="19">
        <f t="shared" si="81"/>
        <v>0</v>
      </c>
      <c r="H206" s="19">
        <f t="shared" si="81"/>
        <v>0</v>
      </c>
      <c r="I206" s="19">
        <f t="shared" si="81"/>
        <v>0</v>
      </c>
      <c r="J206" s="19">
        <f t="shared" si="81"/>
        <v>0</v>
      </c>
      <c r="K206" s="19">
        <f t="shared" si="81"/>
        <v>0</v>
      </c>
      <c r="L206" s="19">
        <f t="shared" si="81"/>
        <v>0</v>
      </c>
      <c r="M206" s="19">
        <f t="shared" si="81"/>
        <v>0</v>
      </c>
      <c r="N206" s="19">
        <f t="shared" si="81"/>
        <v>0</v>
      </c>
      <c r="O206" s="19">
        <f t="shared" si="81"/>
        <v>0</v>
      </c>
      <c r="P206" s="62"/>
      <c r="Q206" s="39">
        <f>G206+N206</f>
        <v>0</v>
      </c>
      <c r="R206" s="5">
        <f>SUM(K206:L206)</f>
        <v>0</v>
      </c>
      <c r="T206" s="5">
        <f>SUM(C206:O206)</f>
        <v>0</v>
      </c>
    </row>
    <row r="207" spans="1:20" ht="15" x14ac:dyDescent="0.25">
      <c r="A207" s="15">
        <f t="shared" ref="A207:A209" si="82">C177+C187</f>
        <v>87.316871690065398</v>
      </c>
      <c r="B207" s="3">
        <v>2030</v>
      </c>
      <c r="C207" s="19">
        <f t="shared" ref="C207:O207" si="83">((C197+C193)*C17+C201*C47*1000)/1000000</f>
        <v>0</v>
      </c>
      <c r="D207" s="19">
        <f t="shared" si="83"/>
        <v>0</v>
      </c>
      <c r="E207" s="19">
        <f t="shared" si="83"/>
        <v>19.142276543587677</v>
      </c>
      <c r="F207" s="19">
        <f t="shared" si="83"/>
        <v>21.294313336571452</v>
      </c>
      <c r="G207" s="19">
        <f t="shared" si="83"/>
        <v>0</v>
      </c>
      <c r="H207" s="19">
        <f t="shared" si="83"/>
        <v>65.165099999999995</v>
      </c>
      <c r="I207" s="19">
        <f t="shared" si="83"/>
        <v>0</v>
      </c>
      <c r="J207" s="19">
        <f t="shared" si="83"/>
        <v>21.467400000000001</v>
      </c>
      <c r="K207" s="19">
        <f t="shared" si="83"/>
        <v>0</v>
      </c>
      <c r="L207" s="19">
        <f t="shared" si="83"/>
        <v>0</v>
      </c>
      <c r="M207" s="19">
        <f t="shared" si="83"/>
        <v>0</v>
      </c>
      <c r="N207" s="19">
        <f t="shared" si="83"/>
        <v>0.84233122663089777</v>
      </c>
      <c r="O207" s="19">
        <f t="shared" si="83"/>
        <v>1.898007548814188E-2</v>
      </c>
      <c r="P207" s="62"/>
      <c r="Q207" s="39">
        <f>G207+N207</f>
        <v>0.84233122663089777</v>
      </c>
      <c r="R207" s="5">
        <f>SUM(K207:L207)</f>
        <v>0</v>
      </c>
      <c r="T207" s="5">
        <f t="shared" ref="T207:T209" si="84">SUM(C207:O207)</f>
        <v>127.93040118227817</v>
      </c>
    </row>
    <row r="208" spans="1:20" ht="15" x14ac:dyDescent="0.25">
      <c r="A208" s="15">
        <f t="shared" si="82"/>
        <v>49.858517237197653</v>
      </c>
      <c r="B208" s="3">
        <v>2040</v>
      </c>
      <c r="C208" s="19">
        <f t="shared" ref="C208:O208" si="85">((C198+C194)*C18+C202*C48*1000)/1000000</f>
        <v>0</v>
      </c>
      <c r="D208" s="19">
        <f t="shared" si="85"/>
        <v>0</v>
      </c>
      <c r="E208" s="19">
        <f t="shared" si="85"/>
        <v>58.968943245977641</v>
      </c>
      <c r="F208" s="19">
        <f t="shared" si="85"/>
        <v>44.649399832183164</v>
      </c>
      <c r="G208" s="19">
        <f t="shared" si="85"/>
        <v>0</v>
      </c>
      <c r="H208" s="19">
        <f t="shared" si="85"/>
        <v>127.2726</v>
      </c>
      <c r="I208" s="19">
        <f t="shared" si="85"/>
        <v>0</v>
      </c>
      <c r="J208" s="19">
        <f t="shared" si="85"/>
        <v>52.018099999999997</v>
      </c>
      <c r="K208" s="19">
        <f t="shared" si="85"/>
        <v>2.7780501440193399</v>
      </c>
      <c r="L208" s="19">
        <f t="shared" si="85"/>
        <v>0</v>
      </c>
      <c r="M208" s="19">
        <f t="shared" si="85"/>
        <v>0</v>
      </c>
      <c r="N208" s="19">
        <f t="shared" si="85"/>
        <v>0.84233122663089777</v>
      </c>
      <c r="O208" s="19">
        <f t="shared" si="85"/>
        <v>1.8981796588837283E-2</v>
      </c>
      <c r="P208" s="62"/>
      <c r="Q208" s="39">
        <f>G208+N208</f>
        <v>0.84233122663089777</v>
      </c>
      <c r="R208" s="5">
        <f>SUM(K208:L208)</f>
        <v>2.7780501440193399</v>
      </c>
      <c r="T208" s="5">
        <f t="shared" si="84"/>
        <v>286.54840624539986</v>
      </c>
    </row>
    <row r="209" spans="1:25" ht="15" x14ac:dyDescent="0.25">
      <c r="A209" s="15">
        <f t="shared" si="82"/>
        <v>0</v>
      </c>
      <c r="B209" s="3">
        <v>2050</v>
      </c>
      <c r="C209" s="19">
        <f t="shared" ref="C209:O209" si="86">((C199+C195)*C19+C203*C49*1000)/1000000</f>
        <v>0</v>
      </c>
      <c r="D209" s="19">
        <f t="shared" si="86"/>
        <v>0</v>
      </c>
      <c r="E209" s="19">
        <f t="shared" si="86"/>
        <v>45.605477868579392</v>
      </c>
      <c r="F209" s="19">
        <f t="shared" si="86"/>
        <v>33.804600865972503</v>
      </c>
      <c r="G209" s="19">
        <f t="shared" si="86"/>
        <v>16.178562093862816</v>
      </c>
      <c r="H209" s="19">
        <f t="shared" si="86"/>
        <v>158.23079999999999</v>
      </c>
      <c r="I209" s="19">
        <f t="shared" si="86"/>
        <v>82.356399999999994</v>
      </c>
      <c r="J209" s="19">
        <f t="shared" si="86"/>
        <v>71.906800000000004</v>
      </c>
      <c r="K209" s="19">
        <f t="shared" si="86"/>
        <v>28.721513484115793</v>
      </c>
      <c r="L209" s="19">
        <f t="shared" si="86"/>
        <v>66.224191008818323</v>
      </c>
      <c r="M209" s="19">
        <f t="shared" si="86"/>
        <v>0</v>
      </c>
      <c r="N209" s="19">
        <f t="shared" si="86"/>
        <v>3.3693249065235911</v>
      </c>
      <c r="O209" s="19">
        <f t="shared" si="86"/>
        <v>1.8921650304316619E-2</v>
      </c>
      <c r="P209" s="62"/>
      <c r="Q209" s="39">
        <f>G209+N209</f>
        <v>19.547887000386407</v>
      </c>
      <c r="R209" s="5">
        <f>SUM(K209:L209)</f>
        <v>94.945704492934112</v>
      </c>
      <c r="T209" s="5">
        <f t="shared" si="84"/>
        <v>506.41659187817675</v>
      </c>
    </row>
    <row r="210" spans="1:25" ht="15" x14ac:dyDescent="0.25"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69"/>
    </row>
    <row r="211" spans="1:25" ht="75" x14ac:dyDescent="0.25">
      <c r="B211" s="43" t="s">
        <v>23</v>
      </c>
      <c r="C211" s="43" t="s">
        <v>0</v>
      </c>
      <c r="D211" s="43" t="s">
        <v>1</v>
      </c>
      <c r="E211" s="43" t="s">
        <v>28</v>
      </c>
      <c r="F211" s="2" t="s">
        <v>29</v>
      </c>
      <c r="G211" s="2" t="s">
        <v>6</v>
      </c>
      <c r="H211" s="43" t="s">
        <v>2</v>
      </c>
      <c r="I211" s="43" t="s">
        <v>3</v>
      </c>
      <c r="J211" s="43" t="s">
        <v>4</v>
      </c>
      <c r="K211" s="43" t="s">
        <v>9</v>
      </c>
      <c r="L211" s="43" t="s">
        <v>8</v>
      </c>
      <c r="M211" s="43" t="s">
        <v>25</v>
      </c>
      <c r="N211" s="43" t="s">
        <v>7</v>
      </c>
      <c r="O211" s="43" t="s">
        <v>89</v>
      </c>
      <c r="P211" s="25"/>
      <c r="Q211" s="43" t="s">
        <v>5</v>
      </c>
      <c r="R211" s="43" t="s">
        <v>91</v>
      </c>
      <c r="T211" s="43" t="s">
        <v>10</v>
      </c>
      <c r="U211" s="41" t="s">
        <v>86</v>
      </c>
      <c r="V211" s="43" t="s">
        <v>92</v>
      </c>
      <c r="W211" s="43" t="s">
        <v>93</v>
      </c>
      <c r="X211" s="25" t="s">
        <v>26</v>
      </c>
      <c r="Y211" s="25" t="s">
        <v>27</v>
      </c>
    </row>
    <row r="212" spans="1:25" ht="15" x14ac:dyDescent="0.25">
      <c r="B212" s="3">
        <v>2016</v>
      </c>
      <c r="C212" s="19">
        <f>C176+C186+C206</f>
        <v>99.425576517077502</v>
      </c>
      <c r="D212" s="19">
        <f t="shared" ref="D212:O215" si="87">D176+D186+D206</f>
        <v>3.0206166863931165</v>
      </c>
      <c r="E212" s="19">
        <f t="shared" si="87"/>
        <v>0.71827291818882821</v>
      </c>
      <c r="F212" s="19">
        <f t="shared" si="87"/>
        <v>5.6112431781664789</v>
      </c>
      <c r="G212" s="19">
        <f t="shared" si="87"/>
        <v>4.7397372806457199</v>
      </c>
      <c r="H212" s="19">
        <f t="shared" si="87"/>
        <v>3.7406611452973988</v>
      </c>
      <c r="I212" s="19">
        <f t="shared" si="87"/>
        <v>2.7313107545794142</v>
      </c>
      <c r="J212" s="19">
        <f t="shared" si="87"/>
        <v>4.4864465988215327</v>
      </c>
      <c r="K212" s="19">
        <f t="shared" si="87"/>
        <v>0</v>
      </c>
      <c r="L212" s="19">
        <f t="shared" si="87"/>
        <v>2.6131623050841757</v>
      </c>
      <c r="M212" s="19">
        <f t="shared" si="87"/>
        <v>0</v>
      </c>
      <c r="N212" s="19">
        <f t="shared" si="87"/>
        <v>0.46729964879989472</v>
      </c>
      <c r="O212" s="19">
        <f t="shared" si="87"/>
        <v>0</v>
      </c>
      <c r="P212" s="62"/>
      <c r="Q212" s="5">
        <f>G212+N212</f>
        <v>5.2070369294456142</v>
      </c>
      <c r="R212" s="5">
        <f>SUM(K212:L212)</f>
        <v>2.6131623050841757</v>
      </c>
      <c r="S212" s="5"/>
      <c r="T212" s="46">
        <f>SUM(C212:O212)</f>
        <v>127.55432703305404</v>
      </c>
      <c r="U212" s="39">
        <f>T212+T128*Inputs_Summary!I64/1000</f>
        <v>152.9417183439752</v>
      </c>
      <c r="V212" s="39">
        <f>T212+Inputs_Summary!$I$62*Inputs_Summary!I72/1000</f>
        <v>200.18042703305403</v>
      </c>
      <c r="W212" s="39">
        <f>V212+(U212-T212)</f>
        <v>225.5678183439752</v>
      </c>
      <c r="X212" s="75">
        <f>T212-'HC-BC'!T212</f>
        <v>-2.44606645697543</v>
      </c>
      <c r="Y212" s="76">
        <f>T212-'HC-CB'!T212</f>
        <v>0</v>
      </c>
    </row>
    <row r="213" spans="1:25" ht="15" x14ac:dyDescent="0.25">
      <c r="B213" s="3">
        <v>2030</v>
      </c>
      <c r="C213" s="19">
        <f>C177+C187+C207</f>
        <v>87.316871690065398</v>
      </c>
      <c r="D213" s="19">
        <f t="shared" ref="D213:N213" si="88">D177+D187+D207</f>
        <v>2.952687609150574</v>
      </c>
      <c r="E213" s="19">
        <f t="shared" si="88"/>
        <v>21.254663301966549</v>
      </c>
      <c r="F213" s="19">
        <f t="shared" si="88"/>
        <v>22.16200447795643</v>
      </c>
      <c r="G213" s="19">
        <f t="shared" si="88"/>
        <v>3.7268581522139339</v>
      </c>
      <c r="H213" s="19">
        <f t="shared" si="88"/>
        <v>75.389129761222989</v>
      </c>
      <c r="I213" s="19">
        <f t="shared" si="88"/>
        <v>12.422453559937562</v>
      </c>
      <c r="J213" s="19">
        <f t="shared" si="88"/>
        <v>27.809731198937758</v>
      </c>
      <c r="K213" s="19">
        <f t="shared" si="88"/>
        <v>0.30655309872726805</v>
      </c>
      <c r="L213" s="19">
        <f t="shared" si="88"/>
        <v>4.2555872318570316</v>
      </c>
      <c r="M213" s="19">
        <f t="shared" si="88"/>
        <v>0</v>
      </c>
      <c r="N213" s="19">
        <f t="shared" si="88"/>
        <v>4.6589270922698311</v>
      </c>
      <c r="O213" s="19">
        <f t="shared" si="87"/>
        <v>1.898007548814188E-2</v>
      </c>
      <c r="P213" s="62"/>
      <c r="Q213" s="5">
        <f>G213+N213</f>
        <v>8.3857852444837651</v>
      </c>
      <c r="R213" s="5">
        <f>SUM(K213:L213)</f>
        <v>4.5621403305842998</v>
      </c>
      <c r="S213" s="5"/>
      <c r="T213" s="46">
        <f t="shared" ref="T213:T215" si="89">SUM(C213:O213)</f>
        <v>262.27444724979347</v>
      </c>
      <c r="U213" s="39">
        <f>T213+T129*Inputs_Summary!I65/1000</f>
        <v>279.23650210770109</v>
      </c>
      <c r="V213" s="39">
        <f>T213+Inputs_Summary!$I$62*Inputs_Summary!I73/1000</f>
        <v>365.33284724979347</v>
      </c>
      <c r="W213" s="39">
        <f t="shared" ref="W213:W215" si="90">V213+(U213-T213)</f>
        <v>382.29490210770109</v>
      </c>
      <c r="X213" s="75">
        <f>T213-'HC-BC'!T213</f>
        <v>-18.948784905334719</v>
      </c>
      <c r="Y213" s="76">
        <f>T213-'HC-CB'!T213</f>
        <v>-38.089882751789446</v>
      </c>
    </row>
    <row r="214" spans="1:25" ht="15" x14ac:dyDescent="0.25">
      <c r="B214" s="3">
        <v>2040</v>
      </c>
      <c r="C214" s="19">
        <f>C178+C188+C208</f>
        <v>49.858517237197653</v>
      </c>
      <c r="D214" s="19">
        <f t="shared" ref="D214:N215" si="91">D178+D188+D208</f>
        <v>2.8600233121747429</v>
      </c>
      <c r="E214" s="19">
        <f t="shared" si="91"/>
        <v>61.125071435911018</v>
      </c>
      <c r="F214" s="19">
        <f t="shared" si="91"/>
        <v>45.01707641063512</v>
      </c>
      <c r="G214" s="19">
        <f t="shared" si="91"/>
        <v>3.5578424912585822</v>
      </c>
      <c r="H214" s="19">
        <f t="shared" si="91"/>
        <v>127.2726</v>
      </c>
      <c r="I214" s="19">
        <f t="shared" si="91"/>
        <v>12.48577056006742</v>
      </c>
      <c r="J214" s="19">
        <f t="shared" si="91"/>
        <v>55.231301898048919</v>
      </c>
      <c r="K214" s="19">
        <f t="shared" si="91"/>
        <v>3.0851061306423735</v>
      </c>
      <c r="L214" s="19">
        <f t="shared" si="91"/>
        <v>4.3766289075680751</v>
      </c>
      <c r="M214" s="19">
        <f t="shared" si="91"/>
        <v>0</v>
      </c>
      <c r="N214" s="19">
        <f t="shared" si="91"/>
        <v>4.6617471320653916</v>
      </c>
      <c r="O214" s="19">
        <f t="shared" si="87"/>
        <v>1.8981796588837283E-2</v>
      </c>
      <c r="P214" s="62"/>
      <c r="Q214" s="5">
        <f>G214+N214</f>
        <v>8.2195896233239729</v>
      </c>
      <c r="R214" s="5">
        <f>SUM(K214:L214)</f>
        <v>7.461735038210449</v>
      </c>
      <c r="S214" s="5"/>
      <c r="T214" s="46">
        <f t="shared" si="89"/>
        <v>369.55066731215811</v>
      </c>
      <c r="U214" s="39">
        <f>T214+T130*Inputs_Summary!I66/1000</f>
        <v>378.13951033020805</v>
      </c>
      <c r="V214" s="39">
        <f>T214+Inputs_Summary!$I$62*Inputs_Summary!I74/1000</f>
        <v>498.07996731215809</v>
      </c>
      <c r="W214" s="39">
        <f t="shared" si="90"/>
        <v>506.66881033020803</v>
      </c>
      <c r="X214" s="75">
        <f>T214-'HC-BC'!T214</f>
        <v>-37.261214706835005</v>
      </c>
      <c r="Y214" s="76">
        <f>T214-'HC-CB'!T214</f>
        <v>-31.510889218627426</v>
      </c>
    </row>
    <row r="215" spans="1:25" ht="15" x14ac:dyDescent="0.25">
      <c r="B215" s="3">
        <v>2050</v>
      </c>
      <c r="C215" s="19">
        <f>C179+C189+C209</f>
        <v>0</v>
      </c>
      <c r="D215" s="19">
        <f t="shared" ref="D215:N215" si="92">D179+D189+D209</f>
        <v>0</v>
      </c>
      <c r="E215" s="19">
        <f t="shared" si="92"/>
        <v>47.723667341675906</v>
      </c>
      <c r="F215" s="19">
        <f t="shared" si="92"/>
        <v>33.804600865972503</v>
      </c>
      <c r="G215" s="19">
        <f t="shared" si="92"/>
        <v>19.314351587917251</v>
      </c>
      <c r="H215" s="19">
        <f t="shared" si="92"/>
        <v>158.23079999999999</v>
      </c>
      <c r="I215" s="19">
        <f t="shared" si="92"/>
        <v>82.356399999999994</v>
      </c>
      <c r="J215" s="19">
        <f t="shared" si="92"/>
        <v>71.906800000000004</v>
      </c>
      <c r="K215" s="19">
        <f t="shared" si="92"/>
        <v>28.721513484115793</v>
      </c>
      <c r="L215" s="19">
        <f t="shared" si="91"/>
        <v>68.845303558426068</v>
      </c>
      <c r="M215" s="19">
        <f t="shared" si="92"/>
        <v>0</v>
      </c>
      <c r="N215" s="19">
        <f t="shared" si="92"/>
        <v>7.1748879083956432</v>
      </c>
      <c r="O215" s="19">
        <f t="shared" si="87"/>
        <v>1.8921650304316619E-2</v>
      </c>
      <c r="P215" s="62"/>
      <c r="Q215" s="5">
        <f>G215+N215</f>
        <v>26.489239496312894</v>
      </c>
      <c r="R215" s="5">
        <f>SUM(K215:L215)</f>
        <v>97.566817042541857</v>
      </c>
      <c r="S215" s="5"/>
      <c r="T215" s="46">
        <f t="shared" si="89"/>
        <v>518.09724639680735</v>
      </c>
      <c r="U215" s="39">
        <f>T215+T131*Inputs_Summary!I67/1000</f>
        <v>519.65546957689548</v>
      </c>
      <c r="V215" s="39">
        <f>T215+Inputs_Summary!$I$62*Inputs_Summary!I75/1000</f>
        <v>674.56494639680727</v>
      </c>
      <c r="W215" s="39">
        <f t="shared" si="90"/>
        <v>676.12316957689541</v>
      </c>
      <c r="X215" s="75">
        <f>T215-'HC-BC'!T215</f>
        <v>-25.081736161097638</v>
      </c>
      <c r="Y215" s="76">
        <f>T215-'HC-CB'!T215</f>
        <v>-13.737541607782987</v>
      </c>
    </row>
    <row r="216" spans="1:25" ht="15" x14ac:dyDescent="0.25">
      <c r="T216" s="104"/>
      <c r="U216" s="11"/>
    </row>
    <row r="217" spans="1:25" ht="15" x14ac:dyDescent="0.25">
      <c r="B217" s="3">
        <v>2016</v>
      </c>
      <c r="C217" s="21">
        <f t="shared" ref="C217:O220" si="93">IFERROR(C212/$T212,0)</f>
        <v>0.77947631279739071</v>
      </c>
      <c r="D217" s="21">
        <f t="shared" si="93"/>
        <v>2.3681020915976948E-2</v>
      </c>
      <c r="E217" s="21">
        <f t="shared" si="93"/>
        <v>5.6311136979515968E-3</v>
      </c>
      <c r="F217" s="21">
        <f t="shared" si="93"/>
        <v>4.3991006096660276E-2</v>
      </c>
      <c r="G217" s="21">
        <f t="shared" si="93"/>
        <v>3.7158576983574054E-2</v>
      </c>
      <c r="H217" s="21">
        <f t="shared" si="93"/>
        <v>2.9326023133092578E-2</v>
      </c>
      <c r="I217" s="21">
        <f t="shared" si="93"/>
        <v>2.1412921208636308E-2</v>
      </c>
      <c r="J217" s="21">
        <f t="shared" si="93"/>
        <v>3.5172829516468919E-2</v>
      </c>
      <c r="K217" s="21">
        <f t="shared" si="93"/>
        <v>0</v>
      </c>
      <c r="L217" s="21">
        <f t="shared" si="93"/>
        <v>2.0486661376897145E-2</v>
      </c>
      <c r="M217" s="21">
        <f t="shared" si="93"/>
        <v>0</v>
      </c>
      <c r="N217" s="21">
        <f t="shared" si="93"/>
        <v>3.6635342733516217E-3</v>
      </c>
      <c r="O217" s="21">
        <f t="shared" si="93"/>
        <v>0</v>
      </c>
      <c r="P217" s="29"/>
      <c r="Q217" s="7">
        <f t="shared" ref="Q217:R220" si="94">IFERROR(Q212/$T212,0)</f>
        <v>4.0822111256925676E-2</v>
      </c>
      <c r="R217" s="7">
        <f t="shared" si="94"/>
        <v>2.0486661376897145E-2</v>
      </c>
      <c r="T217" s="8">
        <f>SUM(C217:O217)</f>
        <v>1.0000000000000002</v>
      </c>
      <c r="U217" s="11"/>
    </row>
    <row r="218" spans="1:25" ht="15" x14ac:dyDescent="0.25">
      <c r="B218" s="3">
        <v>2030</v>
      </c>
      <c r="C218" s="21">
        <f t="shared" si="93"/>
        <v>0.33292176422701109</v>
      </c>
      <c r="D218" s="21">
        <f t="shared" si="93"/>
        <v>1.1258007175736787E-2</v>
      </c>
      <c r="E218" s="21">
        <f t="shared" si="93"/>
        <v>8.1039779226846839E-2</v>
      </c>
      <c r="F218" s="21">
        <f t="shared" si="93"/>
        <v>8.4499289619507076E-2</v>
      </c>
      <c r="G218" s="21">
        <f t="shared" si="93"/>
        <v>1.4209764585508506E-2</v>
      </c>
      <c r="H218" s="21">
        <f t="shared" si="93"/>
        <v>0.28744367036801505</v>
      </c>
      <c r="I218" s="21">
        <f t="shared" si="93"/>
        <v>4.7364330342506686E-2</v>
      </c>
      <c r="J218" s="21">
        <f t="shared" si="93"/>
        <v>0.10603294179265364</v>
      </c>
      <c r="K218" s="21">
        <f t="shared" si="93"/>
        <v>1.1688256402473819E-3</v>
      </c>
      <c r="L218" s="21">
        <f t="shared" si="93"/>
        <v>1.622570279522487E-2</v>
      </c>
      <c r="M218" s="21">
        <f t="shared" si="93"/>
        <v>0</v>
      </c>
      <c r="N218" s="21">
        <f t="shared" si="93"/>
        <v>1.776355699582358E-2</v>
      </c>
      <c r="O218" s="21">
        <f t="shared" si="93"/>
        <v>7.2367230918477611E-5</v>
      </c>
      <c r="P218" s="29"/>
      <c r="Q218" s="7">
        <f t="shared" si="94"/>
        <v>3.1973321581332086E-2</v>
      </c>
      <c r="R218" s="7">
        <f t="shared" si="94"/>
        <v>1.7394528435472251E-2</v>
      </c>
      <c r="T218" s="8">
        <f t="shared" ref="T218:T220" si="95">SUM(C218:O218)</f>
        <v>0.99999999999999989</v>
      </c>
      <c r="U218" s="11"/>
    </row>
    <row r="219" spans="1:25" ht="15" x14ac:dyDescent="0.25">
      <c r="B219" s="3">
        <v>2040</v>
      </c>
      <c r="C219" s="21">
        <f t="shared" si="93"/>
        <v>0.13491659371049747</v>
      </c>
      <c r="D219" s="21">
        <f t="shared" si="93"/>
        <v>7.7391913075856838E-3</v>
      </c>
      <c r="E219" s="21">
        <f t="shared" si="93"/>
        <v>0.16540376419961622</v>
      </c>
      <c r="F219" s="21">
        <f t="shared" si="93"/>
        <v>0.12181570862273497</v>
      </c>
      <c r="G219" s="21">
        <f t="shared" si="93"/>
        <v>9.6274822533422341E-3</v>
      </c>
      <c r="H219" s="21">
        <f t="shared" si="93"/>
        <v>0.34439824158805615</v>
      </c>
      <c r="I219" s="21">
        <f t="shared" si="93"/>
        <v>3.3786356417321077E-2</v>
      </c>
      <c r="J219" s="21">
        <f t="shared" si="93"/>
        <v>0.14945528931055951</v>
      </c>
      <c r="K219" s="21">
        <f t="shared" si="93"/>
        <v>8.3482629136653556E-3</v>
      </c>
      <c r="L219" s="21">
        <f t="shared" si="93"/>
        <v>1.1843109199072702E-2</v>
      </c>
      <c r="M219" s="21">
        <f t="shared" si="93"/>
        <v>0</v>
      </c>
      <c r="N219" s="21">
        <f t="shared" si="93"/>
        <v>1.2614635946869041E-2</v>
      </c>
      <c r="O219" s="21">
        <f t="shared" si="93"/>
        <v>5.1364530679641362E-5</v>
      </c>
      <c r="P219" s="29"/>
      <c r="Q219" s="7">
        <f t="shared" si="94"/>
        <v>2.2242118200211273E-2</v>
      </c>
      <c r="R219" s="7">
        <f t="shared" si="94"/>
        <v>2.0191372112738058E-2</v>
      </c>
      <c r="T219" s="8">
        <f t="shared" si="95"/>
        <v>1</v>
      </c>
      <c r="U219" s="11"/>
    </row>
    <row r="220" spans="1:25" ht="15" x14ac:dyDescent="0.25">
      <c r="B220" s="3">
        <v>2050</v>
      </c>
      <c r="C220" s="21">
        <f t="shared" si="93"/>
        <v>0</v>
      </c>
      <c r="D220" s="21">
        <f t="shared" si="93"/>
        <v>0</v>
      </c>
      <c r="E220" s="21">
        <f t="shared" si="93"/>
        <v>9.2113339095272195E-2</v>
      </c>
      <c r="F220" s="21">
        <f t="shared" si="93"/>
        <v>6.5247598015762812E-2</v>
      </c>
      <c r="G220" s="21">
        <f t="shared" si="93"/>
        <v>3.7279394403738085E-2</v>
      </c>
      <c r="H220" s="21">
        <f t="shared" si="93"/>
        <v>0.3054075293787839</v>
      </c>
      <c r="I220" s="21">
        <f t="shared" si="93"/>
        <v>0.15895934705841644</v>
      </c>
      <c r="J220" s="21">
        <f t="shared" si="93"/>
        <v>0.13879016053470211</v>
      </c>
      <c r="K220" s="21">
        <f t="shared" si="93"/>
        <v>5.5436529886742865E-2</v>
      </c>
      <c r="L220" s="21">
        <f t="shared" si="93"/>
        <v>0.1328810450880063</v>
      </c>
      <c r="M220" s="21">
        <f t="shared" si="93"/>
        <v>0</v>
      </c>
      <c r="N220" s="21">
        <f t="shared" si="93"/>
        <v>1.384853511246119E-2</v>
      </c>
      <c r="O220" s="21">
        <f t="shared" si="93"/>
        <v>3.6521426114325741E-5</v>
      </c>
      <c r="P220" s="29"/>
      <c r="Q220" s="7">
        <f t="shared" si="94"/>
        <v>5.1127929516199273E-2</v>
      </c>
      <c r="R220" s="7">
        <f t="shared" si="94"/>
        <v>0.18831757497474916</v>
      </c>
      <c r="T220" s="8">
        <f t="shared" si="95"/>
        <v>1.0000000000000002</v>
      </c>
    </row>
    <row r="222" spans="1:25" s="9" customFormat="1" ht="21" x14ac:dyDescent="0.35">
      <c r="B222" s="10" t="s">
        <v>51</v>
      </c>
    </row>
    <row r="223" spans="1:25" s="32" customFormat="1" ht="21" x14ac:dyDescent="0.35">
      <c r="B223" s="31"/>
      <c r="C223" s="40"/>
      <c r="D223" s="40"/>
      <c r="E223" s="40"/>
      <c r="P223" s="58"/>
    </row>
    <row r="224" spans="1:25" ht="30" x14ac:dyDescent="0.25">
      <c r="B224" s="43" t="s">
        <v>48</v>
      </c>
      <c r="C224" s="43" t="s">
        <v>0</v>
      </c>
      <c r="D224" s="43" t="s">
        <v>1</v>
      </c>
      <c r="E224" s="43" t="s">
        <v>28</v>
      </c>
      <c r="F224" s="2" t="s">
        <v>29</v>
      </c>
      <c r="G224" s="2" t="s">
        <v>6</v>
      </c>
      <c r="H224" s="43" t="s">
        <v>2</v>
      </c>
      <c r="I224" s="43" t="s">
        <v>3</v>
      </c>
      <c r="J224" s="43" t="s">
        <v>4</v>
      </c>
      <c r="K224" s="43" t="s">
        <v>9</v>
      </c>
      <c r="L224" s="43" t="s">
        <v>8</v>
      </c>
      <c r="M224" s="43" t="s">
        <v>25</v>
      </c>
      <c r="N224" s="43" t="s">
        <v>7</v>
      </c>
      <c r="O224" s="43" t="s">
        <v>89</v>
      </c>
      <c r="P224" s="25"/>
      <c r="Q224" s="43" t="s">
        <v>5</v>
      </c>
      <c r="R224" s="43" t="s">
        <v>91</v>
      </c>
      <c r="T224" s="42"/>
    </row>
    <row r="225" spans="2:20" ht="15" x14ac:dyDescent="0.25">
      <c r="B225" s="3">
        <v>2016</v>
      </c>
      <c r="C225" s="48">
        <f t="shared" ref="C225:O225" si="96">IFERROR(C176/C34*1000,"")</f>
        <v>0.48989471926362094</v>
      </c>
      <c r="D225" s="48">
        <f t="shared" si="96"/>
        <v>0.20487259277908632</v>
      </c>
      <c r="E225" s="48">
        <f t="shared" si="96"/>
        <v>0.95000000000000007</v>
      </c>
      <c r="F225" s="48">
        <f t="shared" si="96"/>
        <v>2.7719237674542714</v>
      </c>
      <c r="G225" s="48">
        <f t="shared" si="96"/>
        <v>0.30000000000000004</v>
      </c>
      <c r="H225" s="48">
        <f t="shared" si="96"/>
        <v>0.93</v>
      </c>
      <c r="I225" s="48">
        <f t="shared" si="96"/>
        <v>3.2999999999999994</v>
      </c>
      <c r="J225" s="48">
        <f t="shared" si="96"/>
        <v>1.6999999999999997</v>
      </c>
      <c r="K225" s="48" t="str">
        <f t="shared" si="96"/>
        <v/>
      </c>
      <c r="L225" s="48">
        <f t="shared" si="96"/>
        <v>1.6499999999999997</v>
      </c>
      <c r="M225" s="48" t="str">
        <f t="shared" si="96"/>
        <v/>
      </c>
      <c r="N225" s="48">
        <f t="shared" si="96"/>
        <v>0.15605822366857675</v>
      </c>
      <c r="O225" s="48" t="str">
        <f t="shared" si="96"/>
        <v/>
      </c>
      <c r="P225" s="53"/>
      <c r="T225" s="42">
        <f>IFERROR(T176/Inputs_Summary!I72*1000,"")</f>
        <v>0.51041383896307546</v>
      </c>
    </row>
    <row r="226" spans="2:20" ht="15" x14ac:dyDescent="0.25">
      <c r="B226" s="3">
        <v>2030</v>
      </c>
      <c r="C226" s="48">
        <f t="shared" ref="C226:O226" si="97">IFERROR(C177/C35*1000,"")</f>
        <v>0.49950872770809773</v>
      </c>
      <c r="D226" s="48">
        <f t="shared" si="97"/>
        <v>0.20806708313318897</v>
      </c>
      <c r="E226" s="48">
        <f t="shared" si="97"/>
        <v>0.95</v>
      </c>
      <c r="F226" s="48">
        <f t="shared" si="97"/>
        <v>5.826650522602006</v>
      </c>
      <c r="G226" s="48">
        <f t="shared" si="97"/>
        <v>0.30000000000000004</v>
      </c>
      <c r="H226" s="48">
        <f t="shared" si="97"/>
        <v>0.93</v>
      </c>
      <c r="I226" s="48">
        <f t="shared" si="97"/>
        <v>3.2999999999999994</v>
      </c>
      <c r="J226" s="48">
        <f t="shared" si="97"/>
        <v>1.7</v>
      </c>
      <c r="K226" s="48" t="str">
        <f t="shared" si="97"/>
        <v/>
      </c>
      <c r="L226" s="48">
        <f t="shared" si="97"/>
        <v>1.65</v>
      </c>
      <c r="M226" s="48" t="str">
        <f t="shared" si="97"/>
        <v/>
      </c>
      <c r="N226" s="48">
        <f t="shared" si="97"/>
        <v>0.17243721619698896</v>
      </c>
      <c r="O226" s="48" t="str">
        <f t="shared" si="97"/>
        <v/>
      </c>
      <c r="P226" s="53"/>
      <c r="T226" s="42">
        <f>IFERROR(T177/T35*1000,"")</f>
        <v>0.52677748957158854</v>
      </c>
    </row>
    <row r="227" spans="2:20" ht="15" x14ac:dyDescent="0.25">
      <c r="B227" s="3">
        <v>2040</v>
      </c>
      <c r="C227" s="48">
        <f t="shared" ref="C227:O227" si="98">IFERROR(C178/C36*1000,"")</f>
        <v>0.5410421993515544</v>
      </c>
      <c r="D227" s="48">
        <f t="shared" si="98"/>
        <v>0.21284866293081889</v>
      </c>
      <c r="E227" s="48">
        <f t="shared" si="98"/>
        <v>0.95</v>
      </c>
      <c r="F227" s="48">
        <f t="shared" si="98"/>
        <v>4.464877828409942</v>
      </c>
      <c r="G227" s="48">
        <f t="shared" si="98"/>
        <v>0.3</v>
      </c>
      <c r="H227" s="48" t="str">
        <f t="shared" si="98"/>
        <v/>
      </c>
      <c r="I227" s="48">
        <f t="shared" si="98"/>
        <v>3.3</v>
      </c>
      <c r="J227" s="48">
        <f t="shared" si="98"/>
        <v>1.7</v>
      </c>
      <c r="K227" s="48" t="str">
        <f t="shared" si="98"/>
        <v/>
      </c>
      <c r="L227" s="48">
        <f t="shared" si="98"/>
        <v>1.65</v>
      </c>
      <c r="M227" s="48" t="str">
        <f t="shared" si="98"/>
        <v/>
      </c>
      <c r="N227" s="48">
        <f t="shared" si="98"/>
        <v>0.1698315621382992</v>
      </c>
      <c r="O227" s="48" t="str">
        <f t="shared" si="98"/>
        <v/>
      </c>
      <c r="P227" s="53"/>
      <c r="T227" s="42">
        <f>IFERROR(T178/T36*1000,"")</f>
        <v>0.50606125009906844</v>
      </c>
    </row>
    <row r="228" spans="2:20" ht="15" x14ac:dyDescent="0.25">
      <c r="B228" s="3">
        <v>2050</v>
      </c>
      <c r="C228" s="48" t="str">
        <f t="shared" ref="C228:O228" si="99">IFERROR(C179/C37*1000,"")</f>
        <v/>
      </c>
      <c r="D228" s="48" t="str">
        <f t="shared" si="99"/>
        <v/>
      </c>
      <c r="E228" s="48">
        <f t="shared" si="99"/>
        <v>0.94999999999999984</v>
      </c>
      <c r="F228" s="48" t="str">
        <f t="shared" si="99"/>
        <v/>
      </c>
      <c r="G228" s="48">
        <f t="shared" si="99"/>
        <v>0.3</v>
      </c>
      <c r="H228" s="48" t="str">
        <f t="shared" si="99"/>
        <v/>
      </c>
      <c r="I228" s="48" t="str">
        <f t="shared" si="99"/>
        <v/>
      </c>
      <c r="J228" s="48" t="str">
        <f t="shared" si="99"/>
        <v/>
      </c>
      <c r="K228" s="48" t="str">
        <f t="shared" si="99"/>
        <v/>
      </c>
      <c r="L228" s="48">
        <f t="shared" si="99"/>
        <v>1.6500000000000001</v>
      </c>
      <c r="M228" s="48" t="str">
        <f t="shared" si="99"/>
        <v/>
      </c>
      <c r="N228" s="48">
        <f t="shared" si="99"/>
        <v>0.18382146370518126</v>
      </c>
      <c r="O228" s="48" t="str">
        <f t="shared" si="99"/>
        <v/>
      </c>
      <c r="P228" s="53"/>
      <c r="T228" s="42">
        <f>IFERROR(T179/T37*1000,"")</f>
        <v>0.50941372211692248</v>
      </c>
    </row>
    <row r="229" spans="2:20" ht="15" x14ac:dyDescent="0.25">
      <c r="B229" s="41"/>
    </row>
    <row r="230" spans="2:20" ht="30" x14ac:dyDescent="0.25">
      <c r="B230" s="43" t="s">
        <v>47</v>
      </c>
    </row>
    <row r="231" spans="2:20" ht="15" x14ac:dyDescent="0.25">
      <c r="B231" s="3">
        <v>2016</v>
      </c>
      <c r="C231" s="48" t="str">
        <f t="shared" ref="C231:O231" si="100">IFERROR(C186/C40*1000,"")</f>
        <v/>
      </c>
      <c r="D231" s="48" t="str">
        <f t="shared" si="100"/>
        <v/>
      </c>
      <c r="E231" s="48" t="str">
        <f t="shared" si="100"/>
        <v/>
      </c>
      <c r="F231" s="48" t="str">
        <f t="shared" si="100"/>
        <v/>
      </c>
      <c r="G231" s="48" t="str">
        <f t="shared" si="100"/>
        <v/>
      </c>
      <c r="H231" s="48" t="str">
        <f t="shared" si="100"/>
        <v/>
      </c>
      <c r="I231" s="48" t="str">
        <f t="shared" si="100"/>
        <v/>
      </c>
      <c r="J231" s="48" t="str">
        <f t="shared" si="100"/>
        <v/>
      </c>
      <c r="K231" s="48" t="str">
        <f t="shared" si="100"/>
        <v/>
      </c>
      <c r="L231" s="48" t="str">
        <f t="shared" si="100"/>
        <v/>
      </c>
      <c r="M231" s="48" t="str">
        <f t="shared" si="100"/>
        <v/>
      </c>
      <c r="N231" s="48" t="str">
        <f t="shared" si="100"/>
        <v/>
      </c>
      <c r="O231" s="48" t="str">
        <f t="shared" si="100"/>
        <v/>
      </c>
      <c r="P231" s="53"/>
      <c r="T231" s="42">
        <f>IFERROR(T186/Inputs_Summary!I72*1000,"")</f>
        <v>1.6480736264235584E-2</v>
      </c>
    </row>
    <row r="232" spans="2:20" ht="15" x14ac:dyDescent="0.25">
      <c r="B232" s="3">
        <v>2030</v>
      </c>
      <c r="C232" s="48">
        <f t="shared" ref="C232:O232" si="101">IFERROR(C187/C41*1000,"")</f>
        <v>1.1976826563508078</v>
      </c>
      <c r="D232" s="48" t="str">
        <f t="shared" si="101"/>
        <v/>
      </c>
      <c r="E232" s="48" t="str">
        <f t="shared" si="101"/>
        <v/>
      </c>
      <c r="F232" s="48" t="str">
        <f t="shared" si="101"/>
        <v/>
      </c>
      <c r="G232" s="48">
        <f t="shared" si="101"/>
        <v>1.24</v>
      </c>
      <c r="H232" s="48">
        <f t="shared" si="101"/>
        <v>0.70507456548359615</v>
      </c>
      <c r="I232" s="48">
        <f t="shared" si="101"/>
        <v>2.2907692307692309</v>
      </c>
      <c r="J232" s="48">
        <f t="shared" si="101"/>
        <v>0.79657730380457292</v>
      </c>
      <c r="K232" s="48">
        <f t="shared" si="101"/>
        <v>0.86612963442084279</v>
      </c>
      <c r="L232" s="48">
        <f t="shared" si="101"/>
        <v>1.6100000000000003</v>
      </c>
      <c r="M232" s="48" t="str">
        <f t="shared" si="101"/>
        <v/>
      </c>
      <c r="N232" s="48">
        <f t="shared" si="101"/>
        <v>1.0506716584280664</v>
      </c>
      <c r="O232" s="48" t="str">
        <f t="shared" si="101"/>
        <v/>
      </c>
      <c r="P232" s="53"/>
      <c r="T232" s="42">
        <f>IFERROR(T187/Inputs_Summary!I73*1000,"")</f>
        <v>0.18800735869952304</v>
      </c>
    </row>
    <row r="233" spans="2:20" ht="15" x14ac:dyDescent="0.25">
      <c r="B233" s="3">
        <v>2040</v>
      </c>
      <c r="C233" s="52">
        <f t="shared" ref="C233:O233" si="102">IFERROR(C188/C42*1000,"")</f>
        <v>1.2263338832149839</v>
      </c>
      <c r="D233" s="52" t="str">
        <f t="shared" si="102"/>
        <v/>
      </c>
      <c r="E233" s="52" t="str">
        <f t="shared" si="102"/>
        <v/>
      </c>
      <c r="F233" s="52" t="str">
        <f t="shared" si="102"/>
        <v/>
      </c>
      <c r="G233" s="52">
        <f t="shared" si="102"/>
        <v>1.24</v>
      </c>
      <c r="H233" s="52" t="str">
        <f t="shared" si="102"/>
        <v/>
      </c>
      <c r="I233" s="52">
        <f t="shared" si="102"/>
        <v>2.2907692307692309</v>
      </c>
      <c r="J233" s="52">
        <f t="shared" si="102"/>
        <v>0.79657730380457292</v>
      </c>
      <c r="K233" s="52">
        <f t="shared" si="102"/>
        <v>0.85406713295114667</v>
      </c>
      <c r="L233" s="52">
        <f t="shared" si="102"/>
        <v>1.6099999999999999</v>
      </c>
      <c r="M233" s="52" t="str">
        <f t="shared" si="102"/>
        <v/>
      </c>
      <c r="N233" s="52">
        <f t="shared" si="102"/>
        <v>1.0530635667934276</v>
      </c>
      <c r="O233" s="52" t="str">
        <f t="shared" si="102"/>
        <v/>
      </c>
      <c r="P233" s="53"/>
      <c r="T233" s="42">
        <f>IFERROR(T188/Inputs_Summary!I74*1000,"")</f>
        <v>0.13513503804670673</v>
      </c>
    </row>
    <row r="234" spans="2:20" ht="15" x14ac:dyDescent="0.25">
      <c r="B234" s="3">
        <v>2050</v>
      </c>
      <c r="C234" s="55" t="str">
        <f t="shared" ref="C234:O234" si="103">IFERROR(C189/C43*1000,"")</f>
        <v/>
      </c>
      <c r="D234" s="55" t="str">
        <f t="shared" si="103"/>
        <v/>
      </c>
      <c r="E234" s="55" t="str">
        <f t="shared" si="103"/>
        <v/>
      </c>
      <c r="F234" s="55" t="str">
        <f t="shared" si="103"/>
        <v/>
      </c>
      <c r="G234" s="55">
        <f t="shared" si="103"/>
        <v>1.24</v>
      </c>
      <c r="H234" s="55" t="str">
        <f t="shared" si="103"/>
        <v/>
      </c>
      <c r="I234" s="55" t="str">
        <f t="shared" si="103"/>
        <v/>
      </c>
      <c r="J234" s="55" t="str">
        <f t="shared" si="103"/>
        <v/>
      </c>
      <c r="K234" s="55" t="str">
        <f t="shared" si="103"/>
        <v/>
      </c>
      <c r="L234" s="55" t="str">
        <f t="shared" si="103"/>
        <v/>
      </c>
      <c r="M234" s="55" t="str">
        <f t="shared" si="103"/>
        <v/>
      </c>
      <c r="N234" s="55">
        <f t="shared" si="103"/>
        <v>1.1824588565844725</v>
      </c>
      <c r="O234" s="55" t="str">
        <f t="shared" si="103"/>
        <v/>
      </c>
      <c r="P234" s="53"/>
      <c r="T234" s="42">
        <f>IFERROR(T189/Inputs_Summary!I75*1000,"")</f>
        <v>6.9197990244419518E-3</v>
      </c>
    </row>
    <row r="235" spans="2:20" s="11" customFormat="1" ht="15" x14ac:dyDescent="0.25"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T235" s="54"/>
    </row>
    <row r="236" spans="2:20" ht="30" x14ac:dyDescent="0.25">
      <c r="B236" s="43" t="s">
        <v>49</v>
      </c>
      <c r="T236" s="42"/>
    </row>
    <row r="237" spans="2:20" ht="15" x14ac:dyDescent="0.25">
      <c r="B237" s="3">
        <v>2016</v>
      </c>
      <c r="C237" s="48" t="str">
        <f t="shared" ref="C237:O237" si="104">IFERROR(C206/C46*1000,"")</f>
        <v/>
      </c>
      <c r="D237" s="48" t="str">
        <f t="shared" si="104"/>
        <v/>
      </c>
      <c r="E237" s="48" t="str">
        <f t="shared" si="104"/>
        <v/>
      </c>
      <c r="F237" s="48" t="str">
        <f t="shared" si="104"/>
        <v/>
      </c>
      <c r="G237" s="48" t="str">
        <f t="shared" si="104"/>
        <v/>
      </c>
      <c r="H237" s="48" t="str">
        <f t="shared" si="104"/>
        <v/>
      </c>
      <c r="I237" s="48" t="str">
        <f t="shared" si="104"/>
        <v/>
      </c>
      <c r="J237" s="48" t="str">
        <f t="shared" si="104"/>
        <v/>
      </c>
      <c r="K237" s="48" t="str">
        <f t="shared" si="104"/>
        <v/>
      </c>
      <c r="L237" s="48" t="str">
        <f t="shared" si="104"/>
        <v/>
      </c>
      <c r="M237" s="48" t="str">
        <f t="shared" si="104"/>
        <v/>
      </c>
      <c r="N237" s="48" t="str">
        <f t="shared" si="104"/>
        <v/>
      </c>
      <c r="O237" s="48" t="str">
        <f t="shared" si="104"/>
        <v/>
      </c>
      <c r="P237" s="53"/>
      <c r="T237" s="42">
        <f>IFERROR(T206/Inputs_Summary!I72*1000,"")</f>
        <v>0</v>
      </c>
    </row>
    <row r="238" spans="2:20" ht="15" x14ac:dyDescent="0.25">
      <c r="B238" s="3">
        <v>2030</v>
      </c>
      <c r="C238" s="48" t="str">
        <f t="shared" ref="C238:O238" si="105">IFERROR(C207/C47*1000,"")</f>
        <v/>
      </c>
      <c r="D238" s="48" t="str">
        <f t="shared" si="105"/>
        <v/>
      </c>
      <c r="E238" s="48">
        <f t="shared" si="105"/>
        <v>1.5829312680637879</v>
      </c>
      <c r="F238" s="48">
        <f t="shared" si="105"/>
        <v>4.3685093761936633</v>
      </c>
      <c r="G238" s="48" t="str">
        <f t="shared" si="105"/>
        <v/>
      </c>
      <c r="H238" s="48">
        <f t="shared" si="105"/>
        <v>0.60062384418468207</v>
      </c>
      <c r="I238" s="48" t="str">
        <f t="shared" si="105"/>
        <v/>
      </c>
      <c r="J238" s="48">
        <f t="shared" si="105"/>
        <v>0.55384862994360784</v>
      </c>
      <c r="K238" s="48" t="str">
        <f t="shared" si="105"/>
        <v/>
      </c>
      <c r="L238" s="48" t="str">
        <f t="shared" si="105"/>
        <v/>
      </c>
      <c r="M238" s="48" t="str">
        <f t="shared" si="105"/>
        <v/>
      </c>
      <c r="N238" s="48">
        <f t="shared" si="105"/>
        <v>1.0083369029602689</v>
      </c>
      <c r="O238" s="48">
        <f t="shared" si="105"/>
        <v>3.0356662940631951</v>
      </c>
      <c r="P238" s="53"/>
      <c r="T238" s="42">
        <f>IFERROR(T207/Inputs_Summary!I73*1000,"")</f>
        <v>0.37240167084568992</v>
      </c>
    </row>
    <row r="239" spans="2:20" ht="15" x14ac:dyDescent="0.25">
      <c r="B239" s="3">
        <v>2040</v>
      </c>
      <c r="C239" s="48" t="str">
        <f t="shared" ref="C239:O239" si="106">IFERROR(C208/C48*1000,"")</f>
        <v/>
      </c>
      <c r="D239" s="48" t="str">
        <f t="shared" si="106"/>
        <v/>
      </c>
      <c r="E239" s="48">
        <f t="shared" si="106"/>
        <v>1.5111638102250733</v>
      </c>
      <c r="F239" s="48">
        <f t="shared" si="106"/>
        <v>4.4358347816520372</v>
      </c>
      <c r="G239" s="48" t="str">
        <f t="shared" si="106"/>
        <v/>
      </c>
      <c r="H239" s="48">
        <f t="shared" si="106"/>
        <v>0.62776476433344663</v>
      </c>
      <c r="I239" s="48" t="str">
        <f t="shared" si="106"/>
        <v/>
      </c>
      <c r="J239" s="48">
        <f t="shared" si="106"/>
        <v>0.58676525070005847</v>
      </c>
      <c r="K239" s="48">
        <f t="shared" si="106"/>
        <v>1.7171253778259736</v>
      </c>
      <c r="L239" s="48" t="str">
        <f t="shared" si="106"/>
        <v/>
      </c>
      <c r="M239" s="48" t="str">
        <f t="shared" si="106"/>
        <v/>
      </c>
      <c r="N239" s="48">
        <f t="shared" si="106"/>
        <v>0.97644369144466236</v>
      </c>
      <c r="O239" s="48">
        <f t="shared" si="106"/>
        <v>3.0100483578172899</v>
      </c>
      <c r="P239" s="53"/>
      <c r="T239" s="42">
        <f>IFERROR(T208/Inputs_Summary!I74*1000,"")</f>
        <v>0.66883210189131947</v>
      </c>
    </row>
    <row r="240" spans="2:20" ht="15" x14ac:dyDescent="0.25">
      <c r="B240" s="3">
        <v>2050</v>
      </c>
      <c r="C240" s="48" t="str">
        <f t="shared" ref="C240:O240" si="107">IFERROR(C209/C49*1000,"")</f>
        <v/>
      </c>
      <c r="D240" s="48" t="str">
        <f t="shared" si="107"/>
        <v/>
      </c>
      <c r="E240" s="48">
        <f t="shared" si="107"/>
        <v>1.6761842505280806</v>
      </c>
      <c r="F240" s="48">
        <f t="shared" si="107"/>
        <v>8.9009293718189522</v>
      </c>
      <c r="G240" s="48">
        <f t="shared" si="107"/>
        <v>1.0370482016554421</v>
      </c>
      <c r="H240" s="48">
        <f t="shared" si="107"/>
        <v>0.63131400327291765</v>
      </c>
      <c r="I240" s="48">
        <f t="shared" si="107"/>
        <v>1.1786252943908131</v>
      </c>
      <c r="J240" s="48">
        <f t="shared" si="107"/>
        <v>0.63873079610490957</v>
      </c>
      <c r="K240" s="48">
        <f t="shared" si="107"/>
        <v>2.0696154527092232</v>
      </c>
      <c r="L240" s="48">
        <f t="shared" si="107"/>
        <v>3.9581259520069039</v>
      </c>
      <c r="M240" s="48" t="str">
        <f t="shared" si="107"/>
        <v/>
      </c>
      <c r="N240" s="48">
        <f t="shared" si="107"/>
        <v>1.1724096311744063</v>
      </c>
      <c r="O240" s="48">
        <f t="shared" si="107"/>
        <v>4.2745605994938494</v>
      </c>
      <c r="P240" s="53"/>
      <c r="T240" s="42">
        <f>IFERROR(T209/Inputs_Summary!I75*1000,"")</f>
        <v>0.97096702746607144</v>
      </c>
    </row>
    <row r="241" spans="2:25" ht="15" x14ac:dyDescent="0.25">
      <c r="B241" s="41"/>
    </row>
    <row r="242" spans="2:25" ht="30" x14ac:dyDescent="0.25">
      <c r="B242" s="43" t="s">
        <v>50</v>
      </c>
      <c r="T242" s="43" t="s">
        <v>75</v>
      </c>
      <c r="U242" s="43" t="s">
        <v>73</v>
      </c>
      <c r="V242" s="43" t="s">
        <v>74</v>
      </c>
    </row>
    <row r="243" spans="2:25" ht="15" x14ac:dyDescent="0.25">
      <c r="B243" s="3">
        <v>2016</v>
      </c>
      <c r="C243" s="48">
        <f t="shared" ref="C243:O243" si="108">IFERROR(C212/C52*1000,"")</f>
        <v>0.51037516938143923</v>
      </c>
      <c r="D243" s="48">
        <f t="shared" si="108"/>
        <v>0.20487259277908632</v>
      </c>
      <c r="E243" s="48">
        <f t="shared" si="108"/>
        <v>0.95000000000000007</v>
      </c>
      <c r="F243" s="48">
        <f t="shared" si="108"/>
        <v>2.7719237674542714</v>
      </c>
      <c r="G243" s="48">
        <f t="shared" si="108"/>
        <v>0.30000000000000004</v>
      </c>
      <c r="H243" s="48">
        <f t="shared" si="108"/>
        <v>0.93</v>
      </c>
      <c r="I243" s="48">
        <f t="shared" si="108"/>
        <v>3.2999999999999994</v>
      </c>
      <c r="J243" s="48">
        <f t="shared" si="108"/>
        <v>1.6999999999999997</v>
      </c>
      <c r="K243" s="48" t="str">
        <f t="shared" si="108"/>
        <v/>
      </c>
      <c r="L243" s="48">
        <f t="shared" si="108"/>
        <v>1.6499999999999997</v>
      </c>
      <c r="M243" s="48" t="str">
        <f t="shared" si="108"/>
        <v/>
      </c>
      <c r="N243" s="48">
        <f t="shared" si="108"/>
        <v>0.15605822366857675</v>
      </c>
      <c r="O243" s="48" t="str">
        <f t="shared" si="108"/>
        <v/>
      </c>
      <c r="P243" s="53"/>
      <c r="T243" s="47">
        <f>IFERROR(T212/Inputs_Summary!I72*1000,"")</f>
        <v>0.52689457522731098</v>
      </c>
      <c r="U243" s="42">
        <f>T243+Inputs_Summary!$I$62</f>
        <v>0.82689457522731091</v>
      </c>
      <c r="V243" s="42">
        <f>U243+Inputs_Summary!I64*T128/T52</f>
        <v>0.93258760396588514</v>
      </c>
    </row>
    <row r="244" spans="2:25" ht="15" x14ac:dyDescent="0.25">
      <c r="B244" s="3">
        <v>2030</v>
      </c>
      <c r="C244" s="48">
        <f t="shared" ref="C244:O244" si="109">IFERROR(C213/C53*1000,"")</f>
        <v>0.68872236086302785</v>
      </c>
      <c r="D244" s="48">
        <f t="shared" si="109"/>
        <v>0.20806708313318897</v>
      </c>
      <c r="E244" s="48">
        <f t="shared" si="109"/>
        <v>1.4846276085896457</v>
      </c>
      <c r="F244" s="48">
        <f t="shared" si="109"/>
        <v>4.4117354893663769</v>
      </c>
      <c r="G244" s="48">
        <f t="shared" si="109"/>
        <v>0.31550297901735602</v>
      </c>
      <c r="H244" s="48">
        <f t="shared" si="109"/>
        <v>0.61966745165716153</v>
      </c>
      <c r="I244" s="48">
        <f t="shared" si="109"/>
        <v>2.4584311046240797</v>
      </c>
      <c r="J244" s="48">
        <f t="shared" si="109"/>
        <v>0.6356929680438852</v>
      </c>
      <c r="K244" s="48">
        <f t="shared" si="109"/>
        <v>0.86612963442084279</v>
      </c>
      <c r="L244" s="48">
        <f t="shared" si="109"/>
        <v>1.6342381511946729</v>
      </c>
      <c r="M244" s="48" t="str">
        <f t="shared" si="109"/>
        <v/>
      </c>
      <c r="N244" s="48">
        <f t="shared" si="109"/>
        <v>0.70206693181851276</v>
      </c>
      <c r="O244" s="48">
        <f t="shared" si="109"/>
        <v>3.0356662940631951</v>
      </c>
      <c r="P244" s="53"/>
      <c r="T244" s="47">
        <f>IFERROR(T213/Inputs_Summary!I73*1000,"")</f>
        <v>0.76347327510361152</v>
      </c>
      <c r="U244" s="42">
        <f>T244+Inputs_Summary!$I$62</f>
        <v>1.0634732751036116</v>
      </c>
      <c r="V244" s="42">
        <f>U244+Inputs_Summary!I65*T129/T53</f>
        <v>1.1116355786573604</v>
      </c>
    </row>
    <row r="245" spans="2:25" ht="15" x14ac:dyDescent="0.25">
      <c r="B245" s="3">
        <v>2040</v>
      </c>
      <c r="C245" s="48">
        <f t="shared" ref="C245:O245" si="110">IFERROR(C214/C54*1000,"")</f>
        <v>0.99567687641074176</v>
      </c>
      <c r="D245" s="48">
        <f t="shared" si="110"/>
        <v>0.21284866293081889</v>
      </c>
      <c r="E245" s="48">
        <f t="shared" si="110"/>
        <v>1.4803193855075922</v>
      </c>
      <c r="F245" s="48">
        <f t="shared" si="110"/>
        <v>4.4360704600126653</v>
      </c>
      <c r="G245" s="48">
        <f t="shared" si="110"/>
        <v>0.31654574696211579</v>
      </c>
      <c r="H245" s="48">
        <f t="shared" si="110"/>
        <v>0.62776476433344663</v>
      </c>
      <c r="I245" s="48">
        <f t="shared" si="110"/>
        <v>2.4590408958130481</v>
      </c>
      <c r="J245" s="48">
        <f t="shared" si="110"/>
        <v>0.60161101889314328</v>
      </c>
      <c r="K245" s="48">
        <f t="shared" si="110"/>
        <v>1.5602056969396414</v>
      </c>
      <c r="L245" s="48">
        <f t="shared" si="110"/>
        <v>1.6346961740435106</v>
      </c>
      <c r="M245" s="48" t="str">
        <f t="shared" si="110"/>
        <v/>
      </c>
      <c r="N245" s="48">
        <f t="shared" si="110"/>
        <v>0.69449598253108868</v>
      </c>
      <c r="O245" s="48">
        <f t="shared" si="110"/>
        <v>3.0100483578172899</v>
      </c>
      <c r="P245" s="53"/>
      <c r="T245" s="47">
        <f>IFERROR(T214/Inputs_Summary!I74*1000,"")</f>
        <v>0.86256752502073408</v>
      </c>
      <c r="U245" s="42">
        <f>T245+Inputs_Summary!$I$62</f>
        <v>1.1625675250207341</v>
      </c>
      <c r="V245" s="42">
        <f>U245+Inputs_Summary!I66*T130/T54</f>
        <v>1.18221321428127</v>
      </c>
    </row>
    <row r="246" spans="2:25" ht="15" x14ac:dyDescent="0.25">
      <c r="B246" s="3">
        <v>2050</v>
      </c>
      <c r="C246" s="48" t="str">
        <f t="shared" ref="C246:O246" si="111">IFERROR(C215/C55*1000,"")</f>
        <v/>
      </c>
      <c r="D246" s="48" t="str">
        <f t="shared" si="111"/>
        <v/>
      </c>
      <c r="E246" s="48">
        <f t="shared" si="111"/>
        <v>1.6211813227129934</v>
      </c>
      <c r="F246" s="48">
        <f t="shared" si="111"/>
        <v>8.9009293718189522</v>
      </c>
      <c r="G246" s="48">
        <f t="shared" si="111"/>
        <v>0.75899179922330351</v>
      </c>
      <c r="H246" s="48">
        <f t="shared" si="111"/>
        <v>0.63131400327291765</v>
      </c>
      <c r="I246" s="48">
        <f t="shared" si="111"/>
        <v>1.1786252943908131</v>
      </c>
      <c r="J246" s="48">
        <f t="shared" si="111"/>
        <v>0.63873079610490957</v>
      </c>
      <c r="K246" s="48">
        <f t="shared" si="111"/>
        <v>2.0696154527092232</v>
      </c>
      <c r="L246" s="48">
        <f t="shared" si="111"/>
        <v>3.7579823784549209</v>
      </c>
      <c r="M246" s="48" t="str">
        <f t="shared" si="111"/>
        <v/>
      </c>
      <c r="N246" s="48">
        <f t="shared" si="111"/>
        <v>0.8861791415577589</v>
      </c>
      <c r="O246" s="48">
        <f t="shared" si="111"/>
        <v>4.2745605994938494</v>
      </c>
      <c r="P246" s="53"/>
      <c r="T246" s="47">
        <f>IFERROR(T215/Inputs_Summary!I75*1000,"")</f>
        <v>0.99336268072606815</v>
      </c>
      <c r="U246" s="42">
        <f>T246+Inputs_Summary!$I$62</f>
        <v>1.2933626807260681</v>
      </c>
      <c r="V246" s="42">
        <f>U246+Inputs_Summary!I67*T131/T55</f>
        <v>1.2962912808760036</v>
      </c>
    </row>
    <row r="247" spans="2:25" s="58" customFormat="1" ht="21" x14ac:dyDescent="0.35">
      <c r="B247" s="59"/>
      <c r="O247" s="3"/>
      <c r="P247" s="11"/>
      <c r="Q247" s="3"/>
      <c r="R247" s="3"/>
    </row>
    <row r="248" spans="2:25" s="9" customFormat="1" ht="21" x14ac:dyDescent="0.35">
      <c r="B248" s="10" t="s">
        <v>131</v>
      </c>
      <c r="Y248" s="86"/>
    </row>
    <row r="249" spans="2:25" ht="15" x14ac:dyDescent="0.25">
      <c r="Y249" s="12"/>
    </row>
    <row r="250" spans="2:25" ht="30" x14ac:dyDescent="0.25">
      <c r="B250" s="43" t="s">
        <v>124</v>
      </c>
      <c r="C250" s="43" t="s">
        <v>0</v>
      </c>
      <c r="D250" s="43" t="s">
        <v>1</v>
      </c>
      <c r="E250" s="43" t="s">
        <v>28</v>
      </c>
      <c r="F250" s="2" t="s">
        <v>29</v>
      </c>
      <c r="G250" s="2" t="s">
        <v>6</v>
      </c>
      <c r="H250" s="43" t="s">
        <v>2</v>
      </c>
      <c r="I250" s="43" t="s">
        <v>3</v>
      </c>
      <c r="J250" s="43" t="s">
        <v>4</v>
      </c>
      <c r="K250" s="43" t="s">
        <v>9</v>
      </c>
      <c r="L250" s="43" t="s">
        <v>8</v>
      </c>
      <c r="M250" s="43" t="s">
        <v>25</v>
      </c>
      <c r="N250" s="43" t="s">
        <v>7</v>
      </c>
      <c r="O250" s="43" t="s">
        <v>89</v>
      </c>
      <c r="P250" s="25"/>
      <c r="Q250" s="43" t="s">
        <v>5</v>
      </c>
      <c r="R250" s="43" t="s">
        <v>91</v>
      </c>
      <c r="T250" s="43" t="s">
        <v>10</v>
      </c>
      <c r="Y250" s="12"/>
    </row>
    <row r="251" spans="2:25" ht="15" x14ac:dyDescent="0.25">
      <c r="B251" s="3">
        <v>2016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3"/>
      <c r="Q251" s="5">
        <f>G251+N251</f>
        <v>0</v>
      </c>
      <c r="R251" s="5">
        <f>SUM(K251:L251)</f>
        <v>0</v>
      </c>
      <c r="T251" s="5">
        <f>SUM(C251:O251)</f>
        <v>0</v>
      </c>
      <c r="Y251" s="12"/>
    </row>
    <row r="252" spans="2:25" ht="15" x14ac:dyDescent="0.25">
      <c r="B252" s="3">
        <v>2030</v>
      </c>
      <c r="C252" s="50">
        <f>Inputs_Summary!E$53*((C11+C17))/14/1000</f>
        <v>9493.7757142857154</v>
      </c>
      <c r="D252" s="50">
        <f>Inputs_Summary!F$53*((D11+D17))/14/1000</f>
        <v>0</v>
      </c>
      <c r="E252" s="50">
        <f>Inputs_Summary!G$53*((E11+E17))/14/1000</f>
        <v>1712.88</v>
      </c>
      <c r="F252" s="50">
        <f>Inputs_Summary!H$53*((F11+F17))/14/1000</f>
        <v>4500.8228571428572</v>
      </c>
      <c r="G252" s="50">
        <f>Inputs_Summary!I$53*((G11+G17))/14/1000</f>
        <v>0</v>
      </c>
      <c r="H252" s="50">
        <f>Inputs_Summary!J$53*((H11+H17))/14/1000</f>
        <v>16868.571428571428</v>
      </c>
      <c r="I252" s="50">
        <f>Inputs_Summary!K$53*((I11+I17))/14/1000</f>
        <v>1578.5714285714287</v>
      </c>
      <c r="J252" s="50">
        <f>Inputs_Summary!L$53*((J11+J17))/14/1000</f>
        <v>14657.074285714285</v>
      </c>
      <c r="K252" s="50">
        <f>Inputs_Summary!M$53*((K11+K17))/14/1000</f>
        <v>0</v>
      </c>
      <c r="L252" s="50">
        <f>Inputs_Summary!N$53*((L11+L17))/14/1000</f>
        <v>0</v>
      </c>
      <c r="M252" s="50">
        <f>Inputs_Summary!O$53*((M11+M17))/14/1000</f>
        <v>0</v>
      </c>
      <c r="N252" s="50">
        <f>Inputs_Summary!P$53*((N11+N17))/14/1000</f>
        <v>0</v>
      </c>
      <c r="O252" s="50">
        <f>Inputs_Summary!Q$53*((O11+O17))/14/1000</f>
        <v>0</v>
      </c>
      <c r="P252" s="53"/>
      <c r="Q252" s="5">
        <f>G252+N252</f>
        <v>0</v>
      </c>
      <c r="R252" s="5">
        <f>SUM(K252:L252)</f>
        <v>0</v>
      </c>
      <c r="T252" s="5">
        <f>SUM(C252:O252)</f>
        <v>48811.695714285714</v>
      </c>
      <c r="Y252" s="12"/>
    </row>
    <row r="253" spans="2:25" ht="15" x14ac:dyDescent="0.25">
      <c r="B253" s="3">
        <v>2040</v>
      </c>
      <c r="C253" s="50">
        <f>Inputs_Summary!E$53*((C12+C18))/10/1000</f>
        <v>13291.286</v>
      </c>
      <c r="D253" s="50">
        <f>Inputs_Summary!F$53*((D12+D18))/10/1000</f>
        <v>0</v>
      </c>
      <c r="E253" s="50">
        <f>Inputs_Summary!G$53*((E12+E18))/10/1000</f>
        <v>6508.9440000000004</v>
      </c>
      <c r="F253" s="50">
        <f>Inputs_Summary!H$53*((F12+F18))/10/1000</f>
        <v>13343.616</v>
      </c>
      <c r="G253" s="50">
        <f>Inputs_Summary!I$53*((G12+G18))/10/1000</f>
        <v>0</v>
      </c>
      <c r="H253" s="50">
        <f>Inputs_Summary!J$53*((H12+H18))/10/1000</f>
        <v>42624</v>
      </c>
      <c r="I253" s="50">
        <f>Inputs_Summary!K$53*((I12+I18))/10/1000</f>
        <v>2210</v>
      </c>
      <c r="J253" s="50">
        <f>Inputs_Summary!L$53*((J12+J18))/10/1000</f>
        <v>50952.703999999998</v>
      </c>
      <c r="K253" s="50">
        <f>Inputs_Summary!M$53*((K12+K18))/10/1000</f>
        <v>0</v>
      </c>
      <c r="L253" s="50">
        <f>Inputs_Summary!N$53*((L12+L18))/10/1000</f>
        <v>0</v>
      </c>
      <c r="M253" s="50">
        <f>Inputs_Summary!O$53*((M12+M18))/10/1000</f>
        <v>0</v>
      </c>
      <c r="N253" s="50">
        <f>Inputs_Summary!P$53*((N12+N18))/10/1000</f>
        <v>0</v>
      </c>
      <c r="O253" s="50">
        <f>Inputs_Summary!Q$53*((O12+O18))/10/1000</f>
        <v>0</v>
      </c>
      <c r="P253" s="53"/>
      <c r="Q253" s="5">
        <f>G253+N253</f>
        <v>0</v>
      </c>
      <c r="R253" s="5">
        <f>SUM(K253:L253)</f>
        <v>0</v>
      </c>
      <c r="T253" s="5">
        <f>SUM(C253:O253)</f>
        <v>128930.54999999999</v>
      </c>
      <c r="Y253" s="12"/>
    </row>
    <row r="254" spans="2:25" ht="15" x14ac:dyDescent="0.25">
      <c r="B254" s="3">
        <v>2050</v>
      </c>
      <c r="C254" s="50">
        <f>Inputs_Summary!E$53*((C13+C19))/10/1000</f>
        <v>0</v>
      </c>
      <c r="D254" s="50">
        <f>Inputs_Summary!F$53*((D13+D19))/10/1000</f>
        <v>0</v>
      </c>
      <c r="E254" s="50">
        <f>Inputs_Summary!G$53*((E13+E19))/10/1000</f>
        <v>6508.9440000000004</v>
      </c>
      <c r="F254" s="50">
        <f>Inputs_Summary!H$53*((F13+F19))/10/1000</f>
        <v>13343.616</v>
      </c>
      <c r="G254" s="50">
        <f>Inputs_Summary!I$53*((G13+G19))/10/1000</f>
        <v>0</v>
      </c>
      <c r="H254" s="50">
        <f>Inputs_Summary!J$53*((H13+H19))/10/1000</f>
        <v>52992</v>
      </c>
      <c r="I254" s="50">
        <f>Inputs_Summary!K$53*((I13+I19))/10/1000</f>
        <v>34840</v>
      </c>
      <c r="J254" s="50">
        <f>Inputs_Summary!L$53*((J13+J19))/10/1000</f>
        <v>73422.399999999994</v>
      </c>
      <c r="K254" s="50">
        <f>Inputs_Summary!M$53*((K13+K19))/10/1000</f>
        <v>0</v>
      </c>
      <c r="L254" s="50">
        <f>Inputs_Summary!N$53*((L13+L19))/10/1000</f>
        <v>0</v>
      </c>
      <c r="M254" s="50">
        <f>Inputs_Summary!O$53*((M13+M19))/10/1000</f>
        <v>0</v>
      </c>
      <c r="N254" s="50">
        <f>Inputs_Summary!P$53*((N13+N19))/10/1000</f>
        <v>0</v>
      </c>
      <c r="O254" s="50">
        <f>Inputs_Summary!Q$53*((O13+O19))/10/1000</f>
        <v>0</v>
      </c>
      <c r="P254" s="53"/>
      <c r="Q254" s="5">
        <f>G254+N254</f>
        <v>0</v>
      </c>
      <c r="R254" s="5">
        <f>SUM(K254:L254)</f>
        <v>0</v>
      </c>
      <c r="T254" s="5">
        <f>SUM(C254:O254)</f>
        <v>181106.96</v>
      </c>
      <c r="Y254" s="12"/>
    </row>
    <row r="255" spans="2:25" ht="15" x14ac:dyDescent="0.25">
      <c r="B255" s="41"/>
      <c r="Y255" s="12"/>
    </row>
    <row r="256" spans="2:25" ht="28.8" x14ac:dyDescent="0.3">
      <c r="B256" s="43" t="s">
        <v>125</v>
      </c>
      <c r="C256" s="43" t="s">
        <v>0</v>
      </c>
      <c r="D256" s="43" t="s">
        <v>1</v>
      </c>
      <c r="E256" s="43" t="s">
        <v>28</v>
      </c>
      <c r="F256" s="2" t="s">
        <v>29</v>
      </c>
      <c r="G256" s="2" t="s">
        <v>6</v>
      </c>
      <c r="H256" s="43" t="s">
        <v>2</v>
      </c>
      <c r="I256" s="43" t="s">
        <v>3</v>
      </c>
      <c r="J256" s="43" t="s">
        <v>4</v>
      </c>
      <c r="K256" s="43" t="s">
        <v>9</v>
      </c>
      <c r="L256" s="43" t="s">
        <v>8</v>
      </c>
      <c r="M256" s="43" t="s">
        <v>25</v>
      </c>
      <c r="N256" s="43" t="s">
        <v>7</v>
      </c>
      <c r="O256" s="43" t="s">
        <v>89</v>
      </c>
      <c r="P256" s="25"/>
      <c r="Q256" s="43" t="s">
        <v>5</v>
      </c>
      <c r="R256" s="43" t="s">
        <v>91</v>
      </c>
      <c r="T256" s="43" t="s">
        <v>10</v>
      </c>
      <c r="Y256" s="12"/>
    </row>
    <row r="257" spans="2:25" x14ac:dyDescent="0.3">
      <c r="B257" s="3">
        <v>2016</v>
      </c>
      <c r="C257" s="50">
        <f>C52*Inputs_Summary!E$54/1000</f>
        <v>45896.9543048372</v>
      </c>
      <c r="D257" s="50">
        <f>D52*Inputs_Summary!F$54/1000</f>
        <v>1194.2541863648376</v>
      </c>
      <c r="E257" s="50">
        <f>E52*Inputs_Summary!G$54/1000</f>
        <v>24.194456191623686</v>
      </c>
      <c r="F257" s="50">
        <f>F52*Inputs_Summary!H$54/1000</f>
        <v>64.778037480530941</v>
      </c>
      <c r="G257" s="50">
        <f>G52*Inputs_Summary!I$54/1000</f>
        <v>0</v>
      </c>
      <c r="H257" s="50">
        <f>H52*Inputs_Summary!J$54/1000</f>
        <v>482.6659542319224</v>
      </c>
      <c r="I257" s="50">
        <f>I52*Inputs_Summary!K$54/1000</f>
        <v>107.59709033191633</v>
      </c>
      <c r="J257" s="50">
        <f>J52*Inputs_Summary!L$54/1000</f>
        <v>290.29948580609926</v>
      </c>
      <c r="K257" s="50">
        <f>K52*Inputs_Summary!M$54/1000</f>
        <v>0</v>
      </c>
      <c r="L257" s="50">
        <f>L52*Inputs_Summary!N$54/1000</f>
        <v>0</v>
      </c>
      <c r="M257" s="50">
        <f>M52*Inputs_Summary!O$54/1000</f>
        <v>0</v>
      </c>
      <c r="N257" s="50">
        <f>N52*Inputs_Summary!P$54/1000</f>
        <v>0</v>
      </c>
      <c r="O257" s="50">
        <f>O52*Inputs_Summary!Q$54/1000</f>
        <v>0</v>
      </c>
      <c r="P257" s="53"/>
      <c r="Q257" s="5">
        <f>G257+N257</f>
        <v>0</v>
      </c>
      <c r="R257" s="5">
        <f>SUM(K257:L257)</f>
        <v>0</v>
      </c>
      <c r="T257" s="5">
        <f>SUM(C257:O257)</f>
        <v>48060.743515244132</v>
      </c>
      <c r="Y257" s="12"/>
    </row>
    <row r="258" spans="2:25" x14ac:dyDescent="0.3">
      <c r="B258" s="3">
        <v>2030</v>
      </c>
      <c r="C258" s="50">
        <f>C53*Inputs_Summary!E$54/1000</f>
        <v>29869.590620523952</v>
      </c>
      <c r="D258" s="50">
        <f>D53*Inputs_Summary!F$54/1000</f>
        <v>1149.4739712773271</v>
      </c>
      <c r="E258" s="50">
        <f>E53*Inputs_Summary!G$54/1000</f>
        <v>458.12783066122017</v>
      </c>
      <c r="F258" s="50">
        <f>F53*Inputs_Summary!H$54/1000</f>
        <v>160.74947036239024</v>
      </c>
      <c r="G258" s="50">
        <f>G53*Inputs_Summary!I$54/1000</f>
        <v>0</v>
      </c>
      <c r="H258" s="50">
        <f>H53*Inputs_Summary!J$54/1000</f>
        <v>14599.275058183874</v>
      </c>
      <c r="I258" s="50">
        <f>I53*Inputs_Summary!K$54/1000</f>
        <v>656.89006283494018</v>
      </c>
      <c r="J258" s="50">
        <f>J53*Inputs_Summary!L$54/1000</f>
        <v>4812.1822729868081</v>
      </c>
      <c r="K258" s="50">
        <f>K53*Inputs_Summary!M$54/1000</f>
        <v>0</v>
      </c>
      <c r="L258" s="50">
        <f>L53*Inputs_Summary!N$54/1000</f>
        <v>0</v>
      </c>
      <c r="M258" s="50">
        <f>M53*Inputs_Summary!O$54/1000</f>
        <v>0</v>
      </c>
      <c r="N258" s="50">
        <f>N53*Inputs_Summary!P$54/1000</f>
        <v>0</v>
      </c>
      <c r="O258" s="50">
        <f>O53*Inputs_Summary!Q$54/1000</f>
        <v>0</v>
      </c>
      <c r="P258" s="53"/>
      <c r="Q258" s="5">
        <f>G258+N258</f>
        <v>0</v>
      </c>
      <c r="R258" s="5">
        <f>SUM(K258:L258)</f>
        <v>0</v>
      </c>
      <c r="T258" s="5">
        <f>SUM(C258:O258)</f>
        <v>51706.289286830499</v>
      </c>
      <c r="Y258" s="12"/>
    </row>
    <row r="259" spans="2:25" x14ac:dyDescent="0.3">
      <c r="B259" s="3">
        <v>2040</v>
      </c>
      <c r="C259" s="50">
        <f>C54*Inputs_Summary!E$54/1000</f>
        <v>11797.669444156068</v>
      </c>
      <c r="D259" s="50">
        <f>D54*Inputs_Summary!F$54/1000</f>
        <v>1088.3878014373531</v>
      </c>
      <c r="E259" s="50">
        <f>E54*Inputs_Summary!G$54/1000</f>
        <v>1321.3380200911517</v>
      </c>
      <c r="F259" s="50">
        <f>F54*Inputs_Summary!H$54/1000</f>
        <v>324.73479808889488</v>
      </c>
      <c r="G259" s="50">
        <f>G54*Inputs_Summary!I$54/1000</f>
        <v>0</v>
      </c>
      <c r="H259" s="50">
        <f>H54*Inputs_Summary!J$54/1000</f>
        <v>24328.718124561176</v>
      </c>
      <c r="I259" s="50">
        <f>I54*Inputs_Summary!K$54/1000</f>
        <v>660.07449309707079</v>
      </c>
      <c r="J259" s="50">
        <f>J54*Inputs_Summary!L$54/1000</f>
        <v>10098.623559061651</v>
      </c>
      <c r="K259" s="50">
        <f>K54*Inputs_Summary!M$54/1000</f>
        <v>0</v>
      </c>
      <c r="L259" s="50">
        <f>L54*Inputs_Summary!N$54/1000</f>
        <v>0</v>
      </c>
      <c r="M259" s="50">
        <f>M54*Inputs_Summary!O$54/1000</f>
        <v>0</v>
      </c>
      <c r="N259" s="50">
        <f>N54*Inputs_Summary!P$54/1000</f>
        <v>0</v>
      </c>
      <c r="O259" s="50">
        <f>O54*Inputs_Summary!Q$54/1000</f>
        <v>0</v>
      </c>
      <c r="P259" s="53"/>
      <c r="Q259" s="5">
        <f>G259+N259</f>
        <v>0</v>
      </c>
      <c r="R259" s="5">
        <f>SUM(K259:L259)</f>
        <v>0</v>
      </c>
      <c r="T259" s="5">
        <f>SUM(C259:O259)</f>
        <v>49619.546240493364</v>
      </c>
      <c r="Y259" s="12"/>
    </row>
    <row r="260" spans="2:25" x14ac:dyDescent="0.3">
      <c r="B260" s="3">
        <v>2050</v>
      </c>
      <c r="C260" s="50">
        <f>C55*Inputs_Summary!E$54/1000</f>
        <v>0</v>
      </c>
      <c r="D260" s="50">
        <f>D55*Inputs_Summary!F$54/1000</f>
        <v>0</v>
      </c>
      <c r="E260" s="50">
        <f>E55*Inputs_Summary!G$54/1000</f>
        <v>942.00280594028902</v>
      </c>
      <c r="F260" s="50">
        <f>F55*Inputs_Summary!H$54/1000</f>
        <v>121.53194149995363</v>
      </c>
      <c r="G260" s="50">
        <f>G55*Inputs_Summary!I$54/1000</f>
        <v>0</v>
      </c>
      <c r="H260" s="50">
        <f>H55*Inputs_Summary!J$54/1000</f>
        <v>30076.468922853277</v>
      </c>
      <c r="I260" s="50">
        <f>I55*Inputs_Summary!K$54/1000</f>
        <v>9083.745318340294</v>
      </c>
      <c r="J260" s="50">
        <f>J55*Inputs_Summary!L$54/1000</f>
        <v>12383.53943200329</v>
      </c>
      <c r="K260" s="50">
        <f>K55*Inputs_Summary!M$54/1000</f>
        <v>0</v>
      </c>
      <c r="L260" s="50">
        <f>L55*Inputs_Summary!N$54/1000</f>
        <v>0</v>
      </c>
      <c r="M260" s="50">
        <f>M55*Inputs_Summary!O$54/1000</f>
        <v>0</v>
      </c>
      <c r="N260" s="50">
        <f>N55*Inputs_Summary!P$54/1000</f>
        <v>0</v>
      </c>
      <c r="O260" s="50">
        <f>O55*Inputs_Summary!Q$54/1000</f>
        <v>0</v>
      </c>
      <c r="P260" s="53"/>
      <c r="Q260" s="5">
        <f>G260+N260</f>
        <v>0</v>
      </c>
      <c r="R260" s="5">
        <f>SUM(K260:L260)</f>
        <v>0</v>
      </c>
      <c r="T260" s="5">
        <f>SUM(C260:O260)</f>
        <v>52607.288420637109</v>
      </c>
      <c r="Y260" s="12"/>
    </row>
    <row r="261" spans="2:25" x14ac:dyDescent="0.3">
      <c r="B261" s="11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11"/>
      <c r="R261" s="11"/>
      <c r="Y261" s="12"/>
    </row>
    <row r="262" spans="2:25" ht="28.8" x14ac:dyDescent="0.3">
      <c r="B262" s="43" t="s">
        <v>126</v>
      </c>
      <c r="C262" s="43" t="s">
        <v>0</v>
      </c>
      <c r="D262" s="43" t="s">
        <v>1</v>
      </c>
      <c r="E262" s="43" t="s">
        <v>28</v>
      </c>
      <c r="F262" s="2" t="s">
        <v>29</v>
      </c>
      <c r="G262" s="2" t="s">
        <v>6</v>
      </c>
      <c r="H262" s="43" t="s">
        <v>2</v>
      </c>
      <c r="I262" s="43" t="s">
        <v>3</v>
      </c>
      <c r="J262" s="43" t="s">
        <v>4</v>
      </c>
      <c r="K262" s="43" t="s">
        <v>9</v>
      </c>
      <c r="L262" s="43" t="s">
        <v>8</v>
      </c>
      <c r="M262" s="43" t="s">
        <v>25</v>
      </c>
      <c r="N262" s="43" t="s">
        <v>7</v>
      </c>
      <c r="O262" s="43" t="s">
        <v>89</v>
      </c>
      <c r="P262" s="25"/>
      <c r="Q262" s="43" t="s">
        <v>5</v>
      </c>
      <c r="R262" s="43" t="s">
        <v>91</v>
      </c>
      <c r="T262" s="43" t="s">
        <v>10</v>
      </c>
      <c r="Y262" s="12"/>
    </row>
    <row r="263" spans="2:25" x14ac:dyDescent="0.3">
      <c r="B263" s="3">
        <v>2016</v>
      </c>
      <c r="C263" s="50">
        <v>0</v>
      </c>
      <c r="D263" s="50">
        <v>0</v>
      </c>
      <c r="E263" s="50">
        <v>0</v>
      </c>
      <c r="F263" s="50">
        <v>0</v>
      </c>
      <c r="G263" s="50">
        <v>0</v>
      </c>
      <c r="H263" s="50">
        <v>0</v>
      </c>
      <c r="I263" s="50">
        <v>0</v>
      </c>
      <c r="J263" s="50">
        <v>0</v>
      </c>
      <c r="K263" s="50">
        <v>0</v>
      </c>
      <c r="L263" s="50">
        <v>0</v>
      </c>
      <c r="M263" s="50">
        <v>0</v>
      </c>
      <c r="N263" s="50">
        <v>0</v>
      </c>
      <c r="O263" s="50">
        <v>0</v>
      </c>
      <c r="P263" s="53"/>
      <c r="Q263" s="5">
        <f>G263+N263</f>
        <v>0</v>
      </c>
      <c r="R263" s="5">
        <f>SUM(K263:L263)</f>
        <v>0</v>
      </c>
      <c r="T263" s="5">
        <f>SUM(C263:O263)</f>
        <v>0</v>
      </c>
      <c r="Y263" s="12"/>
    </row>
    <row r="264" spans="2:25" x14ac:dyDescent="0.3">
      <c r="B264" s="3">
        <v>2030</v>
      </c>
      <c r="C264" s="50">
        <f>Inputs_Summary!E$56*((C11+C17)-(C10+C16))/14/1000</f>
        <v>1915.0885714285714</v>
      </c>
      <c r="D264" s="50">
        <f>Inputs_Summary!F$56*((D11+D17)-(D10+D16))/14/1000</f>
        <v>0</v>
      </c>
      <c r="E264" s="50">
        <f>Inputs_Summary!G$56*((E11+E17)-(E10+E16))/14/1000</f>
        <v>292.8</v>
      </c>
      <c r="F264" s="50">
        <f>Inputs_Summary!H$56*((F11+F17)-(F10+F16))/14/1000</f>
        <v>769.37142857142851</v>
      </c>
      <c r="G264" s="50">
        <f>Inputs_Summary!I$56*((G11+G17)-(G10+G16))/14/1000</f>
        <v>0</v>
      </c>
      <c r="H264" s="50">
        <f>Inputs_Summary!J$56*((H11+H17)-(H10+H16))/14/1000</f>
        <v>11548.742857142857</v>
      </c>
      <c r="I264" s="50">
        <f>Inputs_Summary!K$56*((I11+I17)-(I10+I16))/14/1000</f>
        <v>546.42857142857144</v>
      </c>
      <c r="J264" s="50">
        <f>Inputs_Summary!L$56*((J11+J17)-(J10+J16))/14/1000</f>
        <v>8269.8171428571422</v>
      </c>
      <c r="K264" s="50">
        <f>Inputs_Summary!M$56*((K11+K17)-(K10+K16))/14/1000</f>
        <v>0</v>
      </c>
      <c r="L264" s="50">
        <f>Inputs_Summary!N$56*((L11+L17)-(L10+L16))/14/1000</f>
        <v>0</v>
      </c>
      <c r="M264" s="50">
        <f>Inputs_Summary!O$56*((M11+M17)-(M10+M16))/14/1000</f>
        <v>0</v>
      </c>
      <c r="N264" s="50">
        <f>Inputs_Summary!P$56*((N11+N17)-(N10+N16))/14/1000</f>
        <v>0</v>
      </c>
      <c r="O264" s="50">
        <f>Inputs_Summary!Q$56*((O11+O17)-(O10+O16))/14/1000</f>
        <v>0</v>
      </c>
      <c r="P264" s="53"/>
      <c r="Q264" s="5">
        <f>G264+N264</f>
        <v>0</v>
      </c>
      <c r="R264" s="5">
        <f>SUM(K264:L264)</f>
        <v>0</v>
      </c>
      <c r="T264" s="5">
        <f>SUM(C264:O264)</f>
        <v>23342.248571428572</v>
      </c>
      <c r="Y264" s="12"/>
    </row>
    <row r="265" spans="2:25" x14ac:dyDescent="0.3">
      <c r="B265" s="3">
        <v>2040</v>
      </c>
      <c r="C265" s="50">
        <f>Inputs_Summary!E$56*((C12+C18))/10/1000</f>
        <v>3113.6019999999999</v>
      </c>
      <c r="D265" s="50">
        <f>Inputs_Summary!F$56*((D12+D18))/10/1000</f>
        <v>0</v>
      </c>
      <c r="E265" s="50">
        <f>Inputs_Summary!G$56*((E12+E18))/10/1000</f>
        <v>1112.6400000000001</v>
      </c>
      <c r="F265" s="50">
        <f>Inputs_Summary!H$56*((F12+F18))/10/1000</f>
        <v>2280.96</v>
      </c>
      <c r="G265" s="50">
        <f>Inputs_Summary!I$56*((G12+G18))/10/1000</f>
        <v>0</v>
      </c>
      <c r="H265" s="50">
        <f>Inputs_Summary!J$56*((H12+H18))/10/1000</f>
        <v>29304</v>
      </c>
      <c r="I265" s="50">
        <f>Inputs_Summary!K$56*((I12+I18))/10/1000</f>
        <v>765</v>
      </c>
      <c r="J265" s="50">
        <f>Inputs_Summary!L$56*((J12+J18))/10/1000</f>
        <v>28748.544000000002</v>
      </c>
      <c r="K265" s="50">
        <f>Inputs_Summary!M$56*((K12+K18))/10/1000</f>
        <v>0</v>
      </c>
      <c r="L265" s="50">
        <f>Inputs_Summary!N$56*((L12+L18))/10/1000</f>
        <v>0</v>
      </c>
      <c r="M265" s="50">
        <f>Inputs_Summary!O$56*((M12+M18))/10/1000</f>
        <v>0</v>
      </c>
      <c r="N265" s="50">
        <f>Inputs_Summary!P$56*((N12+N18))/10/1000</f>
        <v>0</v>
      </c>
      <c r="O265" s="50">
        <f>Inputs_Summary!Q$56*((O12+O18))/10/1000</f>
        <v>0</v>
      </c>
      <c r="P265" s="53"/>
      <c r="Q265" s="5">
        <f>G265+N265</f>
        <v>0</v>
      </c>
      <c r="R265" s="5">
        <f>SUM(K265:L265)</f>
        <v>0</v>
      </c>
      <c r="T265" s="5">
        <f>SUM(C265:O265)</f>
        <v>65324.745999999999</v>
      </c>
      <c r="Y265" s="12"/>
    </row>
    <row r="266" spans="2:25" x14ac:dyDescent="0.3">
      <c r="B266" s="3">
        <v>2050</v>
      </c>
      <c r="C266" s="50">
        <f>Inputs_Summary!E$56*((C13+C19))/10/1000</f>
        <v>0</v>
      </c>
      <c r="D266" s="50">
        <f>Inputs_Summary!F$56*((D13+D19))/10/1000</f>
        <v>0</v>
      </c>
      <c r="E266" s="50">
        <f>Inputs_Summary!G$56*((E13+E19))/10/1000</f>
        <v>1112.6400000000001</v>
      </c>
      <c r="F266" s="50">
        <f>Inputs_Summary!H$56*((F13+F19))/10/1000</f>
        <v>2280.96</v>
      </c>
      <c r="G266" s="50">
        <f>Inputs_Summary!I$56*((G13+G19))/10/1000</f>
        <v>0</v>
      </c>
      <c r="H266" s="50">
        <f>Inputs_Summary!J$56*((H13+H19))/10/1000</f>
        <v>36432</v>
      </c>
      <c r="I266" s="50">
        <f>Inputs_Summary!K$56*((I13+I19))/10/1000</f>
        <v>12060</v>
      </c>
      <c r="J266" s="50">
        <f>Inputs_Summary!L$56*((J13+J19))/10/1000</f>
        <v>41426.400000000001</v>
      </c>
      <c r="K266" s="50">
        <f>Inputs_Summary!M$56*((K13+K19))/10/1000</f>
        <v>0</v>
      </c>
      <c r="L266" s="50">
        <f>Inputs_Summary!N$56*((L13+L19))/10/1000</f>
        <v>0</v>
      </c>
      <c r="M266" s="50">
        <f>Inputs_Summary!O$56*((M13+M19))/10/1000</f>
        <v>0</v>
      </c>
      <c r="N266" s="50">
        <f>Inputs_Summary!P$56*((N13+N19))/10/1000</f>
        <v>0</v>
      </c>
      <c r="O266" s="50">
        <f>Inputs_Summary!Q$56*((O13+O19))/10/1000</f>
        <v>0</v>
      </c>
      <c r="P266" s="53"/>
      <c r="Q266" s="5">
        <f>G266+N266</f>
        <v>0</v>
      </c>
      <c r="R266" s="5">
        <f>SUM(K266:L266)</f>
        <v>0</v>
      </c>
      <c r="T266" s="5">
        <f>SUM(C266:O266)</f>
        <v>93312</v>
      </c>
      <c r="Y266" s="12"/>
    </row>
    <row r="267" spans="2:25" x14ac:dyDescent="0.3">
      <c r="B267" s="41"/>
      <c r="Y267" s="12"/>
    </row>
    <row r="268" spans="2:25" ht="28.8" x14ac:dyDescent="0.3">
      <c r="B268" s="43" t="s">
        <v>127</v>
      </c>
      <c r="C268" s="43" t="s">
        <v>0</v>
      </c>
      <c r="D268" s="43" t="s">
        <v>1</v>
      </c>
      <c r="E268" s="43" t="s">
        <v>28</v>
      </c>
      <c r="F268" s="2" t="s">
        <v>29</v>
      </c>
      <c r="G268" s="2" t="s">
        <v>6</v>
      </c>
      <c r="H268" s="43" t="s">
        <v>2</v>
      </c>
      <c r="I268" s="43" t="s">
        <v>3</v>
      </c>
      <c r="J268" s="43" t="s">
        <v>4</v>
      </c>
      <c r="K268" s="43" t="s">
        <v>9</v>
      </c>
      <c r="L268" s="43" t="s">
        <v>8</v>
      </c>
      <c r="M268" s="43" t="s">
        <v>25</v>
      </c>
      <c r="N268" s="43" t="s">
        <v>7</v>
      </c>
      <c r="O268" s="43" t="s">
        <v>89</v>
      </c>
      <c r="P268" s="25"/>
      <c r="Q268" s="43" t="s">
        <v>5</v>
      </c>
      <c r="R268" s="43" t="s">
        <v>91</v>
      </c>
      <c r="T268" s="43" t="s">
        <v>10</v>
      </c>
      <c r="Y268" s="12"/>
    </row>
    <row r="269" spans="2:25" x14ac:dyDescent="0.3">
      <c r="B269" s="38"/>
      <c r="C269" s="50">
        <f>C52*Inputs_Summary!E$57/1000</f>
        <v>28685.596440523248</v>
      </c>
      <c r="D269" s="50">
        <f>D52*Inputs_Summary!F$57/1000</f>
        <v>176.92654612812407</v>
      </c>
      <c r="E269" s="50">
        <f>E52*Inputs_Summary!G$57/1000</f>
        <v>4.5364605359294412</v>
      </c>
      <c r="F269" s="50">
        <f>F52*Inputs_Summary!H$57/1000</f>
        <v>12.145882027599551</v>
      </c>
      <c r="G269" s="50">
        <f>G52*Inputs_Summary!I$57/1000</f>
        <v>0</v>
      </c>
      <c r="H269" s="50">
        <f>H52*Inputs_Summary!J$57/1000</f>
        <v>16.08886514106408</v>
      </c>
      <c r="I269" s="50">
        <f>I52*Inputs_Summary!K$57/1000</f>
        <v>12.415048884451885</v>
      </c>
      <c r="J269" s="50">
        <f>J52*Inputs_Summary!L$57/1000</f>
        <v>47.503552222816239</v>
      </c>
      <c r="K269" s="50">
        <f>K52*Inputs_Summary!M$57/1000</f>
        <v>0</v>
      </c>
      <c r="L269" s="50">
        <f>L52*Inputs_Summary!N$57/1000</f>
        <v>0</v>
      </c>
      <c r="M269" s="50">
        <f>M52*Inputs_Summary!O$57/1000</f>
        <v>0</v>
      </c>
      <c r="N269" s="50">
        <f>N52*Inputs_Summary!P$57/1000</f>
        <v>0</v>
      </c>
      <c r="O269" s="50">
        <f>O52*Inputs_Summary!Q$57/1000</f>
        <v>0</v>
      </c>
      <c r="P269" s="53"/>
      <c r="Q269" s="5">
        <f>G269+N269</f>
        <v>0</v>
      </c>
      <c r="R269" s="5">
        <f>SUM(K269:L269)</f>
        <v>0</v>
      </c>
      <c r="T269" s="5">
        <f>SUM(C269:O269)</f>
        <v>28955.212795463234</v>
      </c>
      <c r="Y269" s="12"/>
    </row>
    <row r="270" spans="2:25" x14ac:dyDescent="0.3">
      <c r="C270" s="50">
        <f>C53*Inputs_Summary!E$57/1000</f>
        <v>18668.494137827471</v>
      </c>
      <c r="D270" s="50">
        <f>D53*Inputs_Summary!F$57/1000</f>
        <v>170.29244018923364</v>
      </c>
      <c r="E270" s="50">
        <f>E53*Inputs_Summary!G$57/1000</f>
        <v>85.898968248978775</v>
      </c>
      <c r="F270" s="50">
        <f>F53*Inputs_Summary!H$57/1000</f>
        <v>30.14052569294817</v>
      </c>
      <c r="G270" s="50">
        <f>G53*Inputs_Summary!I$57/1000</f>
        <v>0</v>
      </c>
      <c r="H270" s="50">
        <f>H53*Inputs_Summary!J$57/1000</f>
        <v>486.64250193946242</v>
      </c>
      <c r="I270" s="50">
        <f>I53*Inputs_Summary!K$57/1000</f>
        <v>75.795007250185407</v>
      </c>
      <c r="J270" s="50">
        <f>J53*Inputs_Summary!L$57/1000</f>
        <v>787.44800830693214</v>
      </c>
      <c r="K270" s="50">
        <f>K53*Inputs_Summary!M$57/1000</f>
        <v>0</v>
      </c>
      <c r="L270" s="50">
        <f>L53*Inputs_Summary!N$57/1000</f>
        <v>0</v>
      </c>
      <c r="M270" s="50">
        <f>M53*Inputs_Summary!O$57/1000</f>
        <v>0</v>
      </c>
      <c r="N270" s="50">
        <f>N53*Inputs_Summary!P$57/1000</f>
        <v>0</v>
      </c>
      <c r="O270" s="50">
        <f>O53*Inputs_Summary!Q$57/1000</f>
        <v>0</v>
      </c>
      <c r="P270" s="53"/>
      <c r="Q270" s="5">
        <f>G270+N270</f>
        <v>0</v>
      </c>
      <c r="R270" s="5">
        <f>SUM(K270:L270)</f>
        <v>0</v>
      </c>
      <c r="T270" s="5">
        <f>SUM(C270:O270)</f>
        <v>20304.711589455208</v>
      </c>
      <c r="Y270" s="12"/>
    </row>
    <row r="271" spans="2:25" x14ac:dyDescent="0.3">
      <c r="C271" s="50">
        <f>C54*Inputs_Summary!E$57/1000</f>
        <v>7373.5434025975437</v>
      </c>
      <c r="D271" s="50">
        <f>D54*Inputs_Summary!F$57/1000</f>
        <v>161.24263724997823</v>
      </c>
      <c r="E271" s="50">
        <f>E54*Inputs_Summary!G$57/1000</f>
        <v>247.75087876709097</v>
      </c>
      <c r="F271" s="50">
        <f>F54*Inputs_Summary!H$57/1000</f>
        <v>60.887774641667782</v>
      </c>
      <c r="G271" s="50">
        <f>G54*Inputs_Summary!I$57/1000</f>
        <v>0</v>
      </c>
      <c r="H271" s="50">
        <f>H54*Inputs_Summary!J$57/1000</f>
        <v>810.95727081870587</v>
      </c>
      <c r="I271" s="50">
        <f>I54*Inputs_Summary!K$57/1000</f>
        <v>76.162441511200484</v>
      </c>
      <c r="J271" s="50">
        <f>J54*Inputs_Summary!L$57/1000</f>
        <v>1652.502036937361</v>
      </c>
      <c r="K271" s="50">
        <f>K54*Inputs_Summary!M$57/1000</f>
        <v>0</v>
      </c>
      <c r="L271" s="50">
        <f>L54*Inputs_Summary!N$57/1000</f>
        <v>0</v>
      </c>
      <c r="M271" s="50">
        <f>M54*Inputs_Summary!O$57/1000</f>
        <v>0</v>
      </c>
      <c r="N271" s="50">
        <f>N54*Inputs_Summary!P$57/1000</f>
        <v>0</v>
      </c>
      <c r="O271" s="50">
        <f>O54*Inputs_Summary!Q$57/1000</f>
        <v>0</v>
      </c>
      <c r="P271" s="53"/>
      <c r="Q271" s="5">
        <f>G271+N271</f>
        <v>0</v>
      </c>
      <c r="R271" s="5">
        <f>SUM(K271:L271)</f>
        <v>0</v>
      </c>
      <c r="T271" s="5">
        <f>SUM(C271:O271)</f>
        <v>10383.046442523548</v>
      </c>
      <c r="Y271" s="12"/>
    </row>
    <row r="272" spans="2:25" x14ac:dyDescent="0.3">
      <c r="C272" s="50">
        <f>C55*Inputs_Summary!E$57/1000</f>
        <v>0</v>
      </c>
      <c r="D272" s="50">
        <f>D55*Inputs_Summary!F$57/1000</f>
        <v>0</v>
      </c>
      <c r="E272" s="50">
        <f>E55*Inputs_Summary!G$57/1000</f>
        <v>176.6255261138042</v>
      </c>
      <c r="F272" s="50">
        <f>F55*Inputs_Summary!H$57/1000</f>
        <v>22.78723903124131</v>
      </c>
      <c r="G272" s="50">
        <f>G55*Inputs_Summary!I$57/1000</f>
        <v>0</v>
      </c>
      <c r="H272" s="50">
        <f>H55*Inputs_Summary!J$57/1000</f>
        <v>1002.5489640951092</v>
      </c>
      <c r="I272" s="50">
        <f>I55*Inputs_Summary!K$57/1000</f>
        <v>1048.1244598084954</v>
      </c>
      <c r="J272" s="50">
        <f>J55*Inputs_Summary!L$57/1000</f>
        <v>2026.3973616005383</v>
      </c>
      <c r="K272" s="50">
        <f>K55*Inputs_Summary!M$57/1000</f>
        <v>0</v>
      </c>
      <c r="L272" s="50">
        <f>L55*Inputs_Summary!N$57/1000</f>
        <v>0</v>
      </c>
      <c r="M272" s="50">
        <f>M55*Inputs_Summary!O$57/1000</f>
        <v>0</v>
      </c>
      <c r="N272" s="50">
        <f>N55*Inputs_Summary!P$57/1000</f>
        <v>0</v>
      </c>
      <c r="O272" s="50">
        <f>O55*Inputs_Summary!Q$57/1000</f>
        <v>0</v>
      </c>
      <c r="P272" s="53"/>
      <c r="Q272" s="5">
        <f>G272+N272</f>
        <v>0</v>
      </c>
      <c r="R272" s="5">
        <f>SUM(K272:L272)</f>
        <v>0</v>
      </c>
      <c r="T272" s="5">
        <f>SUM(C272:O272)</f>
        <v>4276.4835506491891</v>
      </c>
      <c r="Y272" s="60"/>
    </row>
    <row r="273" spans="2:37" x14ac:dyDescent="0.3">
      <c r="B273" s="41"/>
      <c r="Y273" s="12"/>
    </row>
    <row r="274" spans="2:37" ht="28.8" x14ac:dyDescent="0.3">
      <c r="B274" s="43" t="s">
        <v>123</v>
      </c>
      <c r="C274" s="43" t="s">
        <v>0</v>
      </c>
      <c r="D274" s="43" t="s">
        <v>1</v>
      </c>
      <c r="E274" s="43" t="s">
        <v>28</v>
      </c>
      <c r="F274" s="2" t="s">
        <v>29</v>
      </c>
      <c r="G274" s="2" t="s">
        <v>6</v>
      </c>
      <c r="H274" s="43" t="s">
        <v>2</v>
      </c>
      <c r="I274" s="43" t="s">
        <v>3</v>
      </c>
      <c r="J274" s="43" t="s">
        <v>4</v>
      </c>
      <c r="K274" s="43" t="s">
        <v>9</v>
      </c>
      <c r="L274" s="43" t="s">
        <v>8</v>
      </c>
      <c r="M274" s="43" t="s">
        <v>25</v>
      </c>
      <c r="N274" s="43" t="s">
        <v>7</v>
      </c>
      <c r="O274" s="43" t="s">
        <v>89</v>
      </c>
      <c r="P274" s="25"/>
      <c r="Q274" s="43" t="s">
        <v>5</v>
      </c>
      <c r="R274" s="43" t="s">
        <v>91</v>
      </c>
      <c r="T274" s="43" t="s">
        <v>10</v>
      </c>
      <c r="Y274" s="12"/>
    </row>
    <row r="275" spans="2:37" x14ac:dyDescent="0.3">
      <c r="B275" s="38"/>
      <c r="C275" s="50">
        <f>C251+C257+C263+C269</f>
        <v>74582.550745360451</v>
      </c>
      <c r="D275" s="50">
        <f t="shared" ref="D275:O275" si="112">D251+D257+D263+D269</f>
        <v>1371.1807324929616</v>
      </c>
      <c r="E275" s="50">
        <f t="shared" si="112"/>
        <v>28.730916727553129</v>
      </c>
      <c r="F275" s="50">
        <f t="shared" si="112"/>
        <v>76.923919508130496</v>
      </c>
      <c r="G275" s="50">
        <f t="shared" si="112"/>
        <v>0</v>
      </c>
      <c r="H275" s="50">
        <f t="shared" si="112"/>
        <v>498.7548193729865</v>
      </c>
      <c r="I275" s="50">
        <f t="shared" si="112"/>
        <v>120.01213921636821</v>
      </c>
      <c r="J275" s="50">
        <f t="shared" si="112"/>
        <v>337.80303802891547</v>
      </c>
      <c r="K275" s="50">
        <f t="shared" si="112"/>
        <v>0</v>
      </c>
      <c r="L275" s="50">
        <f t="shared" si="112"/>
        <v>0</v>
      </c>
      <c r="M275" s="50">
        <f t="shared" si="112"/>
        <v>0</v>
      </c>
      <c r="N275" s="50">
        <f t="shared" si="112"/>
        <v>0</v>
      </c>
      <c r="O275" s="50">
        <f t="shared" si="112"/>
        <v>0</v>
      </c>
      <c r="P275" s="53"/>
      <c r="Q275" s="5">
        <f>G275+N275</f>
        <v>0</v>
      </c>
      <c r="R275" s="5">
        <f>SUM(K275:L275)</f>
        <v>0</v>
      </c>
      <c r="T275" s="5">
        <f>SUM(C275:O275)</f>
        <v>77015.956310707377</v>
      </c>
      <c r="Y275" s="12"/>
    </row>
    <row r="276" spans="2:37" x14ac:dyDescent="0.3">
      <c r="C276" s="50">
        <f t="shared" ref="C276:O278" si="113">C252+C258+C264+C270</f>
        <v>59946.94904406571</v>
      </c>
      <c r="D276" s="50">
        <f t="shared" si="113"/>
        <v>1319.7664114665608</v>
      </c>
      <c r="E276" s="50">
        <f t="shared" si="113"/>
        <v>2549.7067989101993</v>
      </c>
      <c r="F276" s="50">
        <f t="shared" si="113"/>
        <v>5461.0842817696248</v>
      </c>
      <c r="G276" s="50">
        <f t="shared" si="113"/>
        <v>0</v>
      </c>
      <c r="H276" s="50">
        <f t="shared" si="113"/>
        <v>43503.231845837618</v>
      </c>
      <c r="I276" s="50">
        <f t="shared" si="113"/>
        <v>2857.6850700851255</v>
      </c>
      <c r="J276" s="50">
        <f t="shared" si="113"/>
        <v>28526.521709865166</v>
      </c>
      <c r="K276" s="50">
        <f t="shared" si="113"/>
        <v>0</v>
      </c>
      <c r="L276" s="50">
        <f t="shared" si="113"/>
        <v>0</v>
      </c>
      <c r="M276" s="50">
        <f t="shared" si="113"/>
        <v>0</v>
      </c>
      <c r="N276" s="50">
        <f t="shared" si="113"/>
        <v>0</v>
      </c>
      <c r="O276" s="50">
        <f t="shared" si="113"/>
        <v>0</v>
      </c>
      <c r="P276" s="53"/>
      <c r="Q276" s="5">
        <f>G276+N276</f>
        <v>0</v>
      </c>
      <c r="R276" s="5">
        <f>SUM(K276:L276)</f>
        <v>0</v>
      </c>
      <c r="T276" s="5">
        <f>SUM(C276:O276)</f>
        <v>144164.94516200002</v>
      </c>
      <c r="Y276" s="12"/>
    </row>
    <row r="277" spans="2:37" x14ac:dyDescent="0.3">
      <c r="C277" s="50">
        <f t="shared" si="113"/>
        <v>35576.100846753608</v>
      </c>
      <c r="D277" s="50">
        <f t="shared" si="113"/>
        <v>1249.6304386873314</v>
      </c>
      <c r="E277" s="50">
        <f t="shared" si="113"/>
        <v>9190.6728988582418</v>
      </c>
      <c r="F277" s="50">
        <f t="shared" si="113"/>
        <v>16010.198572730564</v>
      </c>
      <c r="G277" s="50">
        <f t="shared" si="113"/>
        <v>0</v>
      </c>
      <c r="H277" s="50">
        <f t="shared" si="113"/>
        <v>97067.675395379876</v>
      </c>
      <c r="I277" s="50">
        <f t="shared" si="113"/>
        <v>3711.2369346082714</v>
      </c>
      <c r="J277" s="50">
        <f t="shared" si="113"/>
        <v>91452.373595999015</v>
      </c>
      <c r="K277" s="50">
        <f t="shared" si="113"/>
        <v>0</v>
      </c>
      <c r="L277" s="50">
        <f t="shared" si="113"/>
        <v>0</v>
      </c>
      <c r="M277" s="50">
        <f t="shared" si="113"/>
        <v>0</v>
      </c>
      <c r="N277" s="50">
        <f t="shared" si="113"/>
        <v>0</v>
      </c>
      <c r="O277" s="50">
        <f t="shared" si="113"/>
        <v>0</v>
      </c>
      <c r="P277" s="53"/>
      <c r="Q277" s="5">
        <f>G277+N277</f>
        <v>0</v>
      </c>
      <c r="R277" s="5">
        <f>SUM(K277:L277)</f>
        <v>0</v>
      </c>
      <c r="T277" s="5">
        <f>SUM(C277:O277)</f>
        <v>254257.88868301694</v>
      </c>
      <c r="Y277" s="12"/>
    </row>
    <row r="278" spans="2:37" x14ac:dyDescent="0.3">
      <c r="C278" s="50">
        <f t="shared" si="113"/>
        <v>0</v>
      </c>
      <c r="D278" s="50">
        <f t="shared" si="113"/>
        <v>0</v>
      </c>
      <c r="E278" s="50">
        <f t="shared" si="113"/>
        <v>8740.2123320540941</v>
      </c>
      <c r="F278" s="50">
        <f t="shared" si="113"/>
        <v>15768.895180531195</v>
      </c>
      <c r="G278" s="50">
        <f t="shared" si="113"/>
        <v>0</v>
      </c>
      <c r="H278" s="50">
        <f t="shared" si="113"/>
        <v>120503.01788694839</v>
      </c>
      <c r="I278" s="50">
        <f t="shared" si="113"/>
        <v>57031.869778148794</v>
      </c>
      <c r="J278" s="50">
        <f t="shared" si="113"/>
        <v>129258.73679360384</v>
      </c>
      <c r="K278" s="50">
        <f t="shared" si="113"/>
        <v>0</v>
      </c>
      <c r="L278" s="50">
        <f t="shared" si="113"/>
        <v>0</v>
      </c>
      <c r="M278" s="50">
        <f t="shared" si="113"/>
        <v>0</v>
      </c>
      <c r="N278" s="50">
        <f t="shared" si="113"/>
        <v>0</v>
      </c>
      <c r="O278" s="50">
        <f t="shared" si="113"/>
        <v>0</v>
      </c>
      <c r="P278" s="53"/>
      <c r="Q278" s="5">
        <f>G278+N278</f>
        <v>0</v>
      </c>
      <c r="R278" s="5">
        <f>SUM(K278:L278)</f>
        <v>0</v>
      </c>
      <c r="T278" s="5">
        <f>SUM(C278:O278)</f>
        <v>331302.73197128635</v>
      </c>
      <c r="Y278" s="60"/>
    </row>
    <row r="279" spans="2:37" s="58" customFormat="1" ht="21" x14ac:dyDescent="0.4">
      <c r="B279" s="59"/>
      <c r="P279" s="11"/>
    </row>
    <row r="280" spans="2:37" s="11" customFormat="1" x14ac:dyDescent="0.3">
      <c r="B280" s="25"/>
      <c r="C280" s="25"/>
      <c r="D280" s="25"/>
      <c r="E280" s="25"/>
      <c r="F280" s="60"/>
      <c r="G280" s="60"/>
      <c r="H280" s="25"/>
      <c r="I280" s="25"/>
      <c r="J280" s="25"/>
      <c r="K280" s="25"/>
      <c r="L280" s="25"/>
      <c r="M280" s="25"/>
      <c r="N280" s="25"/>
      <c r="O280" s="25"/>
      <c r="Q280" s="25"/>
      <c r="R280" s="25"/>
      <c r="S280" s="25"/>
      <c r="T280" s="25"/>
      <c r="U280" s="25"/>
      <c r="V280" s="25"/>
      <c r="X280" s="25"/>
    </row>
    <row r="281" spans="2:37" s="11" customFormat="1" x14ac:dyDescent="0.3"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Q281" s="62"/>
      <c r="R281" s="62"/>
      <c r="S281" s="62"/>
      <c r="T281" s="57"/>
      <c r="U281" s="57"/>
      <c r="V281" s="57"/>
      <c r="W281" s="57"/>
      <c r="X281" s="57"/>
      <c r="Z281" s="77"/>
      <c r="AA281" s="77"/>
      <c r="AB281" s="77"/>
      <c r="AC281" s="12"/>
      <c r="AD281" s="12"/>
      <c r="AF281" s="12"/>
      <c r="AI281" s="12"/>
      <c r="AJ281" s="12"/>
    </row>
    <row r="282" spans="2:37" s="11" customFormat="1" x14ac:dyDescent="0.3"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Q282" s="62"/>
      <c r="R282" s="62"/>
      <c r="S282" s="62"/>
      <c r="T282" s="57"/>
      <c r="U282" s="57"/>
      <c r="V282" s="57"/>
      <c r="W282" s="57"/>
      <c r="X282" s="57"/>
      <c r="Z282" s="78"/>
      <c r="AA282" s="78"/>
      <c r="AB282" s="78"/>
      <c r="AC282" s="12"/>
      <c r="AD282" s="12"/>
      <c r="AF282" s="12"/>
    </row>
    <row r="283" spans="2:37" s="11" customFormat="1" x14ac:dyDescent="0.3"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Q283" s="62"/>
      <c r="R283" s="62"/>
      <c r="S283" s="62"/>
      <c r="T283" s="57"/>
      <c r="U283" s="57"/>
      <c r="V283" s="57"/>
      <c r="W283" s="57"/>
      <c r="X283" s="57"/>
      <c r="Z283" s="78"/>
      <c r="AA283" s="78"/>
      <c r="AB283" s="78"/>
      <c r="AD283" s="12"/>
      <c r="AG283" s="12"/>
      <c r="AH283" s="12"/>
      <c r="AJ283" s="12"/>
      <c r="AK283" s="12"/>
    </row>
    <row r="284" spans="2:37" s="11" customFormat="1" x14ac:dyDescent="0.3"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Q284" s="62"/>
      <c r="R284" s="62"/>
      <c r="S284" s="62"/>
      <c r="T284" s="57"/>
      <c r="U284" s="57"/>
      <c r="V284" s="57"/>
      <c r="W284" s="57"/>
      <c r="X284" s="57"/>
      <c r="Z284" s="78"/>
      <c r="AA284" s="78"/>
      <c r="AB284" s="78"/>
      <c r="AD284" s="12"/>
      <c r="AG284" s="12"/>
      <c r="AI284" s="12"/>
      <c r="AJ284" s="12"/>
    </row>
    <row r="285" spans="2:37" s="11" customFormat="1" x14ac:dyDescent="0.3">
      <c r="T285" s="57"/>
      <c r="U285" s="57"/>
      <c r="V285" s="57"/>
      <c r="W285" s="57"/>
      <c r="X285" s="57"/>
      <c r="AC285" s="12"/>
      <c r="AD285" s="12"/>
      <c r="AF285" s="12"/>
      <c r="AH285" s="12"/>
      <c r="AI285" s="12"/>
      <c r="AJ285" s="12"/>
    </row>
    <row r="286" spans="2:37" s="11" customFormat="1" x14ac:dyDescent="0.3">
      <c r="B286" s="25"/>
      <c r="C286" s="25"/>
      <c r="D286" s="25"/>
      <c r="E286" s="25"/>
      <c r="F286" s="60"/>
      <c r="G286" s="60"/>
      <c r="H286" s="25"/>
      <c r="I286" s="25"/>
      <c r="J286" s="25"/>
      <c r="K286" s="25"/>
      <c r="L286" s="25"/>
      <c r="M286" s="25"/>
      <c r="N286" s="25"/>
      <c r="O286" s="25"/>
      <c r="Q286" s="25"/>
      <c r="R286" s="25"/>
      <c r="S286" s="25"/>
      <c r="T286" s="25"/>
      <c r="U286" s="25"/>
      <c r="V286" s="25"/>
      <c r="X286" s="25"/>
      <c r="Z286" s="77"/>
      <c r="AA286" s="77"/>
      <c r="AB286" s="77"/>
      <c r="AC286" s="12"/>
      <c r="AD286" s="12"/>
      <c r="AG286" s="12"/>
      <c r="AJ286" s="12"/>
    </row>
    <row r="287" spans="2:37" s="11" customFormat="1" x14ac:dyDescent="0.3"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Q287" s="62"/>
      <c r="R287" s="62"/>
      <c r="S287" s="62"/>
      <c r="T287" s="57"/>
      <c r="U287" s="57"/>
      <c r="V287" s="57"/>
      <c r="W287" s="57"/>
      <c r="X287" s="57"/>
      <c r="Z287" s="78"/>
      <c r="AA287" s="78"/>
      <c r="AB287" s="78"/>
      <c r="AC287" s="12"/>
      <c r="AD287" s="12"/>
      <c r="AF287" s="12"/>
      <c r="AG287" s="12"/>
      <c r="AI287" s="12"/>
    </row>
    <row r="288" spans="2:37" s="11" customFormat="1" x14ac:dyDescent="0.3"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Q288" s="62"/>
      <c r="R288" s="62"/>
      <c r="S288" s="62"/>
      <c r="T288" s="57"/>
      <c r="U288" s="57"/>
      <c r="V288" s="57"/>
      <c r="W288" s="57"/>
      <c r="X288" s="57"/>
      <c r="Z288" s="78"/>
      <c r="AA288" s="78"/>
      <c r="AB288" s="78"/>
      <c r="AC288" s="12"/>
      <c r="AD288" s="12"/>
      <c r="AF288" s="12"/>
      <c r="AG288" s="12"/>
      <c r="AJ288" s="12"/>
    </row>
    <row r="289" spans="1:37" s="11" customFormat="1" x14ac:dyDescent="0.3"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Q289" s="62"/>
      <c r="R289" s="62"/>
      <c r="S289" s="62"/>
      <c r="T289" s="57"/>
      <c r="U289" s="57"/>
      <c r="V289" s="57"/>
      <c r="W289" s="57"/>
      <c r="X289" s="57"/>
      <c r="AG289" s="12"/>
      <c r="AJ289" s="12"/>
    </row>
    <row r="290" spans="1:37" s="11" customFormat="1" x14ac:dyDescent="0.3"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Q290" s="62"/>
      <c r="R290" s="62"/>
      <c r="S290" s="62"/>
      <c r="T290" s="57"/>
      <c r="U290" s="57"/>
      <c r="V290" s="57"/>
      <c r="W290" s="57"/>
      <c r="X290" s="57"/>
      <c r="AF290" s="12"/>
      <c r="AG290" s="12"/>
    </row>
    <row r="291" spans="1:37" s="11" customFormat="1" x14ac:dyDescent="0.3">
      <c r="AF291" s="12"/>
      <c r="AG291" s="12"/>
      <c r="AH291" s="12"/>
      <c r="AK291" s="12"/>
    </row>
    <row r="292" spans="1:37" s="11" customFormat="1" x14ac:dyDescent="0.3">
      <c r="B292" s="25"/>
      <c r="C292" s="25"/>
      <c r="D292" s="25"/>
      <c r="E292" s="25"/>
      <c r="F292" s="60"/>
      <c r="G292" s="60"/>
      <c r="H292" s="25"/>
      <c r="I292" s="25"/>
      <c r="J292" s="25"/>
      <c r="K292" s="25"/>
      <c r="L292" s="25"/>
      <c r="M292" s="25"/>
      <c r="N292" s="25"/>
      <c r="O292" s="25"/>
      <c r="Q292" s="25"/>
      <c r="R292" s="25"/>
      <c r="S292" s="25"/>
      <c r="T292" s="25"/>
      <c r="U292" s="25"/>
      <c r="V292" s="25"/>
      <c r="X292" s="25"/>
      <c r="Y292" s="25"/>
      <c r="Z292" s="25"/>
      <c r="AA292" s="25"/>
      <c r="AG292" s="12"/>
    </row>
    <row r="293" spans="1:37" s="11" customFormat="1" x14ac:dyDescent="0.3">
      <c r="A293" s="20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Q293" s="62"/>
      <c r="R293" s="62"/>
      <c r="S293" s="62"/>
      <c r="T293" s="57"/>
      <c r="U293" s="57"/>
      <c r="V293" s="57"/>
      <c r="W293" s="57"/>
      <c r="X293" s="57"/>
      <c r="Y293" s="24"/>
      <c r="Z293" s="24"/>
      <c r="AA293" s="26"/>
      <c r="AD293" s="12"/>
      <c r="AF293" s="12"/>
      <c r="AG293" s="12"/>
      <c r="AH293" s="12"/>
      <c r="AJ293" s="12"/>
      <c r="AK293" s="12"/>
    </row>
    <row r="294" spans="1:37" s="11" customFormat="1" x14ac:dyDescent="0.3">
      <c r="A294" s="20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Q294" s="62"/>
      <c r="R294" s="62"/>
      <c r="S294" s="62"/>
      <c r="T294" s="57"/>
      <c r="U294" s="57"/>
      <c r="V294" s="57"/>
      <c r="W294" s="57"/>
      <c r="X294" s="57"/>
      <c r="Y294" s="24"/>
      <c r="Z294" s="24"/>
      <c r="AA294" s="26"/>
      <c r="AC294" s="12"/>
      <c r="AD294" s="12"/>
      <c r="AF294" s="12"/>
      <c r="AG294" s="12"/>
      <c r="AI294" s="12"/>
      <c r="AJ294" s="12"/>
    </row>
    <row r="295" spans="1:37" s="11" customFormat="1" x14ac:dyDescent="0.3">
      <c r="A295" s="20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Q295" s="62"/>
      <c r="R295" s="62"/>
      <c r="S295" s="62"/>
      <c r="T295" s="57"/>
      <c r="U295" s="57"/>
      <c r="V295" s="57"/>
      <c r="W295" s="57"/>
      <c r="X295" s="57"/>
      <c r="Y295" s="24"/>
      <c r="Z295" s="24"/>
      <c r="AA295" s="26"/>
      <c r="AC295" s="12"/>
      <c r="AD295" s="12"/>
      <c r="AF295" s="12"/>
      <c r="AG295" s="12"/>
      <c r="AI295" s="12"/>
      <c r="AJ295" s="12"/>
    </row>
    <row r="296" spans="1:37" s="11" customFormat="1" x14ac:dyDescent="0.3">
      <c r="A296" s="20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Q296" s="62"/>
      <c r="R296" s="62"/>
      <c r="S296" s="62"/>
      <c r="T296" s="57"/>
      <c r="U296" s="57"/>
      <c r="V296" s="57"/>
      <c r="W296" s="57"/>
      <c r="X296" s="57"/>
      <c r="Y296" s="24"/>
      <c r="Z296" s="24"/>
      <c r="AA296" s="26"/>
      <c r="AC296" s="12"/>
      <c r="AF296" s="12"/>
      <c r="AI296" s="12"/>
    </row>
    <row r="297" spans="1:37" s="11" customFormat="1" x14ac:dyDescent="0.3">
      <c r="AC297" s="12"/>
      <c r="AD297" s="12"/>
      <c r="AF297" s="12"/>
      <c r="AG297" s="12"/>
      <c r="AI297" s="12"/>
      <c r="AJ297" s="12"/>
    </row>
    <row r="298" spans="1:37" s="11" customFormat="1" x14ac:dyDescent="0.3"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Q298" s="26"/>
      <c r="R298" s="26"/>
      <c r="S298" s="26"/>
      <c r="T298" s="28"/>
      <c r="U298" s="28"/>
      <c r="V298" s="28"/>
      <c r="X298" s="27"/>
    </row>
    <row r="299" spans="1:37" s="11" customFormat="1" x14ac:dyDescent="0.3"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Q299" s="26"/>
      <c r="R299" s="26"/>
      <c r="S299" s="26"/>
      <c r="T299" s="28"/>
      <c r="U299" s="28"/>
      <c r="V299" s="28"/>
      <c r="X299" s="27"/>
    </row>
    <row r="300" spans="1:37" s="11" customFormat="1" x14ac:dyDescent="0.3"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Q300" s="26"/>
      <c r="R300" s="26"/>
      <c r="S300" s="26"/>
      <c r="T300" s="28"/>
      <c r="U300" s="28"/>
      <c r="V300" s="28"/>
      <c r="X300" s="27"/>
      <c r="AE300" s="12"/>
    </row>
    <row r="301" spans="1:37" s="11" customFormat="1" x14ac:dyDescent="0.3"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Q301" s="26"/>
      <c r="R301" s="26"/>
      <c r="S301" s="26"/>
      <c r="T301" s="28"/>
      <c r="U301" s="28"/>
      <c r="V301" s="28"/>
      <c r="X301" s="27"/>
    </row>
    <row r="302" spans="1:37" s="11" customFormat="1" x14ac:dyDescent="0.3"/>
    <row r="303" spans="1:37" s="58" customFormat="1" ht="21" x14ac:dyDescent="0.4">
      <c r="B303" s="59"/>
      <c r="P303" s="11"/>
    </row>
    <row r="304" spans="1:37" s="58" customFormat="1" ht="21" x14ac:dyDescent="0.4">
      <c r="B304" s="59"/>
      <c r="P304" s="11"/>
    </row>
    <row r="305" spans="2:24" s="11" customFormat="1" x14ac:dyDescent="0.3">
      <c r="B305" s="3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Q305" s="64"/>
      <c r="R305" s="64"/>
      <c r="S305" s="64"/>
    </row>
    <row r="306" spans="2:24" s="11" customFormat="1" x14ac:dyDescent="0.3">
      <c r="B306" s="25"/>
      <c r="C306" s="25"/>
      <c r="D306" s="25"/>
      <c r="E306" s="25"/>
      <c r="F306" s="60"/>
      <c r="G306" s="60"/>
      <c r="H306" s="25"/>
      <c r="I306" s="25"/>
      <c r="J306" s="25"/>
      <c r="K306" s="25"/>
      <c r="L306" s="25"/>
      <c r="M306" s="25"/>
      <c r="N306" s="25"/>
      <c r="O306" s="25"/>
      <c r="Q306" s="25"/>
      <c r="R306" s="25"/>
      <c r="S306" s="25"/>
      <c r="T306" s="25"/>
      <c r="U306" s="25"/>
      <c r="V306" s="25"/>
      <c r="X306" s="25"/>
    </row>
    <row r="307" spans="2:24" s="11" customFormat="1" x14ac:dyDescent="0.3"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Q307" s="26"/>
      <c r="R307" s="26"/>
      <c r="S307" s="26"/>
      <c r="T307" s="63"/>
      <c r="U307" s="63"/>
      <c r="V307" s="63"/>
      <c r="W307" s="57"/>
      <c r="X307" s="57"/>
    </row>
    <row r="308" spans="2:24" s="11" customFormat="1" x14ac:dyDescent="0.3"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Q308" s="26"/>
      <c r="R308" s="26"/>
      <c r="S308" s="26"/>
      <c r="T308" s="63"/>
      <c r="U308" s="63"/>
      <c r="V308" s="63"/>
      <c r="W308" s="57"/>
      <c r="X308" s="57"/>
    </row>
    <row r="309" spans="2:24" s="11" customFormat="1" x14ac:dyDescent="0.3"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Q309" s="26"/>
      <c r="R309" s="26"/>
      <c r="S309" s="26"/>
      <c r="T309" s="63"/>
      <c r="U309" s="63"/>
      <c r="V309" s="63"/>
      <c r="W309" s="57"/>
      <c r="X309" s="57"/>
    </row>
    <row r="310" spans="2:24" s="11" customFormat="1" x14ac:dyDescent="0.3"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Q310" s="26"/>
      <c r="R310" s="26"/>
      <c r="S310" s="26"/>
      <c r="T310" s="63"/>
      <c r="U310" s="63"/>
      <c r="V310" s="63"/>
      <c r="W310" s="57"/>
      <c r="X310" s="57"/>
    </row>
    <row r="311" spans="2:24" s="11" customFormat="1" x14ac:dyDescent="0.3"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Q311" s="28"/>
      <c r="R311" s="28"/>
      <c r="S311" s="28"/>
      <c r="T311" s="57"/>
      <c r="U311" s="57"/>
      <c r="V311" s="57"/>
      <c r="W311" s="57"/>
      <c r="X311" s="57"/>
    </row>
    <row r="312" spans="2:24" s="11" customFormat="1" x14ac:dyDescent="0.3">
      <c r="B312" s="25"/>
      <c r="C312" s="65"/>
      <c r="D312" s="2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Q312" s="25"/>
      <c r="R312" s="65"/>
      <c r="S312" s="65"/>
      <c r="T312" s="25"/>
      <c r="U312" s="25"/>
      <c r="V312" s="25"/>
      <c r="X312" s="25"/>
    </row>
    <row r="313" spans="2:24" s="11" customFormat="1" x14ac:dyDescent="0.3"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Q313" s="26"/>
      <c r="R313" s="26"/>
      <c r="S313" s="26"/>
      <c r="T313" s="63"/>
      <c r="U313" s="63"/>
      <c r="V313" s="63"/>
      <c r="W313" s="57"/>
      <c r="X313" s="57"/>
    </row>
    <row r="314" spans="2:24" s="11" customFormat="1" x14ac:dyDescent="0.3"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Q314" s="26"/>
      <c r="R314" s="26"/>
      <c r="S314" s="26"/>
      <c r="T314" s="63"/>
      <c r="U314" s="63"/>
      <c r="V314" s="63"/>
      <c r="W314" s="57"/>
      <c r="X314" s="57"/>
    </row>
    <row r="315" spans="2:24" s="11" customFormat="1" x14ac:dyDescent="0.3"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Q315" s="26"/>
      <c r="R315" s="26"/>
      <c r="S315" s="26"/>
      <c r="T315" s="63"/>
      <c r="U315" s="63"/>
      <c r="V315" s="63"/>
      <c r="W315" s="57"/>
      <c r="X315" s="57"/>
    </row>
    <row r="316" spans="2:24" s="11" customFormat="1" x14ac:dyDescent="0.3"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Q316" s="26"/>
      <c r="R316" s="26"/>
      <c r="S316" s="26"/>
      <c r="T316" s="63"/>
      <c r="U316" s="63"/>
      <c r="V316" s="63"/>
      <c r="W316" s="57"/>
      <c r="X316" s="57"/>
    </row>
    <row r="317" spans="2:24" s="11" customFormat="1" x14ac:dyDescent="0.3"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Q317" s="28"/>
      <c r="R317" s="28"/>
      <c r="S317" s="28"/>
    </row>
    <row r="318" spans="2:24" s="11" customFormat="1" x14ac:dyDescent="0.3">
      <c r="B318" s="25"/>
      <c r="C318" s="65"/>
      <c r="D318" s="2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Q318" s="25"/>
      <c r="R318" s="65"/>
      <c r="S318" s="65"/>
      <c r="T318" s="25"/>
      <c r="U318" s="25"/>
      <c r="V318" s="25"/>
      <c r="X318" s="25"/>
    </row>
    <row r="319" spans="2:24" s="11" customFormat="1" x14ac:dyDescent="0.3"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Q319" s="26"/>
      <c r="R319" s="26"/>
      <c r="S319" s="26"/>
      <c r="T319" s="63"/>
      <c r="U319" s="63"/>
      <c r="V319" s="63"/>
      <c r="W319" s="57"/>
      <c r="X319" s="57"/>
    </row>
    <row r="320" spans="2:24" s="11" customFormat="1" x14ac:dyDescent="0.3"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Q320" s="26"/>
      <c r="R320" s="26"/>
      <c r="S320" s="26"/>
      <c r="T320" s="63"/>
      <c r="U320" s="63"/>
      <c r="V320" s="63"/>
      <c r="W320" s="57"/>
      <c r="X320" s="57"/>
    </row>
    <row r="321" spans="2:24" s="11" customFormat="1" x14ac:dyDescent="0.3"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Q321" s="26"/>
      <c r="R321" s="26"/>
      <c r="S321" s="26"/>
      <c r="T321" s="63"/>
      <c r="U321" s="63"/>
      <c r="V321" s="63"/>
      <c r="W321" s="57"/>
      <c r="X321" s="57"/>
    </row>
    <row r="322" spans="2:24" s="11" customFormat="1" x14ac:dyDescent="0.3"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Q322" s="26"/>
      <c r="R322" s="26"/>
      <c r="S322" s="26"/>
      <c r="T322" s="63"/>
      <c r="U322" s="63"/>
      <c r="V322" s="63"/>
      <c r="W322" s="57"/>
      <c r="X322" s="57"/>
    </row>
    <row r="323" spans="2:24" s="11" customFormat="1" x14ac:dyDescent="0.3"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Q323" s="28"/>
      <c r="R323" s="28"/>
      <c r="S323" s="28"/>
    </row>
    <row r="324" spans="2:24" s="11" customFormat="1" x14ac:dyDescent="0.3">
      <c r="C324" s="12"/>
      <c r="D324" s="12"/>
      <c r="E324" s="14"/>
      <c r="F324" s="14"/>
      <c r="G324" s="14"/>
      <c r="H324" s="16"/>
      <c r="I324" s="14"/>
      <c r="J324" s="14"/>
      <c r="K324" s="16"/>
      <c r="L324" s="14"/>
      <c r="M324" s="16"/>
      <c r="N324" s="20"/>
      <c r="O324" s="20"/>
    </row>
    <row r="325" spans="2:24" s="58" customFormat="1" ht="21" x14ac:dyDescent="0.4">
      <c r="B325" s="59"/>
      <c r="P325" s="11"/>
    </row>
    <row r="326" spans="2:24" s="58" customFormat="1" ht="21" x14ac:dyDescent="0.4">
      <c r="B326" s="59"/>
      <c r="P326" s="11"/>
    </row>
    <row r="327" spans="2:24" s="58" customFormat="1" x14ac:dyDescent="0.3">
      <c r="B327" s="67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11"/>
      <c r="Q327" s="62"/>
      <c r="R327" s="62"/>
      <c r="S327" s="61"/>
    </row>
    <row r="328" spans="2:24" s="11" customFormat="1" x14ac:dyDescent="0.3">
      <c r="B328" s="25"/>
      <c r="C328" s="25"/>
      <c r="D328" s="25"/>
      <c r="E328" s="25"/>
      <c r="F328" s="60"/>
      <c r="G328" s="60"/>
      <c r="H328" s="25"/>
      <c r="I328" s="25"/>
      <c r="J328" s="25"/>
      <c r="K328" s="25"/>
      <c r="L328" s="25"/>
      <c r="M328" s="25"/>
      <c r="N328" s="25"/>
      <c r="O328" s="25"/>
      <c r="Q328" s="25"/>
      <c r="R328" s="25"/>
      <c r="S328" s="25"/>
      <c r="T328" s="25"/>
      <c r="U328" s="25"/>
      <c r="V328" s="25"/>
      <c r="X328" s="25"/>
    </row>
    <row r="329" spans="2:24" s="11" customFormat="1" x14ac:dyDescent="0.3"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Q329" s="62"/>
      <c r="R329" s="62"/>
      <c r="S329" s="62"/>
      <c r="T329" s="57"/>
      <c r="U329" s="57"/>
      <c r="V329" s="57"/>
      <c r="W329" s="57"/>
      <c r="X329" s="57"/>
    </row>
    <row r="330" spans="2:24" s="11" customFormat="1" x14ac:dyDescent="0.3"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Q330" s="62"/>
      <c r="R330" s="62"/>
      <c r="S330" s="62"/>
      <c r="T330" s="57"/>
      <c r="U330" s="57"/>
      <c r="V330" s="57"/>
      <c r="W330" s="57"/>
      <c r="X330" s="57"/>
    </row>
    <row r="331" spans="2:24" s="11" customFormat="1" x14ac:dyDescent="0.3"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Q331" s="62"/>
      <c r="R331" s="62"/>
      <c r="S331" s="62"/>
      <c r="T331" s="57"/>
      <c r="U331" s="57"/>
      <c r="V331" s="57"/>
      <c r="W331" s="57"/>
      <c r="X331" s="57"/>
    </row>
    <row r="332" spans="2:24" s="11" customFormat="1" x14ac:dyDescent="0.3"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Q332" s="62"/>
      <c r="R332" s="62"/>
      <c r="S332" s="62"/>
      <c r="T332" s="57"/>
      <c r="U332" s="57"/>
      <c r="V332" s="57"/>
      <c r="W332" s="57"/>
      <c r="X332" s="57"/>
    </row>
    <row r="333" spans="2:24" s="11" customFormat="1" x14ac:dyDescent="0.3">
      <c r="T333" s="57"/>
      <c r="U333" s="57"/>
      <c r="V333" s="57"/>
      <c r="W333" s="57"/>
      <c r="X333" s="57"/>
    </row>
    <row r="334" spans="2:24" s="11" customFormat="1" x14ac:dyDescent="0.3">
      <c r="B334" s="25"/>
      <c r="C334" s="25"/>
      <c r="D334" s="25"/>
      <c r="E334" s="25"/>
      <c r="F334" s="60"/>
      <c r="G334" s="60"/>
      <c r="H334" s="25"/>
      <c r="I334" s="25"/>
      <c r="J334" s="25"/>
      <c r="K334" s="25"/>
      <c r="L334" s="25"/>
      <c r="M334" s="25"/>
      <c r="N334" s="25"/>
      <c r="O334" s="25"/>
      <c r="Q334" s="25"/>
      <c r="R334" s="25"/>
      <c r="S334" s="25"/>
      <c r="T334" s="25"/>
      <c r="U334" s="25"/>
      <c r="V334" s="25"/>
      <c r="X334" s="25"/>
    </row>
    <row r="335" spans="2:24" s="11" customFormat="1" x14ac:dyDescent="0.3"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Q335" s="62"/>
      <c r="R335" s="62"/>
      <c r="S335" s="62"/>
      <c r="T335" s="57"/>
      <c r="U335" s="57"/>
      <c r="V335" s="57"/>
      <c r="W335" s="57"/>
      <c r="X335" s="57"/>
    </row>
    <row r="336" spans="2:24" s="11" customFormat="1" x14ac:dyDescent="0.3"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Q336" s="62"/>
      <c r="R336" s="62"/>
      <c r="S336" s="62"/>
      <c r="T336" s="57"/>
      <c r="U336" s="57"/>
      <c r="V336" s="57"/>
      <c r="W336" s="57"/>
      <c r="X336" s="57"/>
    </row>
    <row r="337" spans="2:27" s="11" customFormat="1" x14ac:dyDescent="0.3"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Q337" s="62"/>
      <c r="R337" s="62"/>
      <c r="S337" s="62"/>
      <c r="T337" s="57"/>
      <c r="U337" s="57"/>
      <c r="V337" s="57"/>
      <c r="W337" s="57"/>
      <c r="X337" s="57"/>
    </row>
    <row r="338" spans="2:27" s="11" customFormat="1" x14ac:dyDescent="0.3"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Q338" s="62"/>
      <c r="R338" s="62"/>
      <c r="S338" s="62"/>
      <c r="T338" s="57"/>
      <c r="U338" s="57"/>
      <c r="V338" s="57"/>
      <c r="W338" s="57"/>
      <c r="X338" s="57"/>
    </row>
    <row r="339" spans="2:27" s="11" customFormat="1" x14ac:dyDescent="0.3"/>
    <row r="340" spans="2:27" s="11" customFormat="1" x14ac:dyDescent="0.3">
      <c r="B340" s="25"/>
      <c r="C340" s="25"/>
      <c r="D340" s="25"/>
      <c r="E340" s="25"/>
      <c r="F340" s="60"/>
      <c r="G340" s="60"/>
      <c r="H340" s="25"/>
      <c r="I340" s="25"/>
      <c r="J340" s="25"/>
      <c r="K340" s="25"/>
      <c r="L340" s="25"/>
      <c r="M340" s="25"/>
      <c r="N340" s="25"/>
      <c r="O340" s="25"/>
      <c r="Q340" s="25"/>
      <c r="R340" s="25"/>
      <c r="S340" s="25"/>
      <c r="T340" s="25"/>
      <c r="U340" s="25"/>
      <c r="V340" s="25"/>
      <c r="X340" s="25"/>
      <c r="Y340" s="25"/>
      <c r="Z340" s="25"/>
      <c r="AA340" s="25"/>
    </row>
    <row r="341" spans="2:27" s="11" customFormat="1" x14ac:dyDescent="0.3"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Q341" s="62"/>
      <c r="R341" s="62"/>
      <c r="S341" s="62"/>
      <c r="T341" s="57"/>
      <c r="U341" s="57"/>
      <c r="V341" s="57"/>
      <c r="W341" s="57"/>
      <c r="X341" s="57"/>
      <c r="Y341" s="35"/>
      <c r="Z341" s="24"/>
      <c r="AA341" s="26"/>
    </row>
    <row r="342" spans="2:27" s="11" customFormat="1" x14ac:dyDescent="0.3"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Q342" s="62"/>
      <c r="R342" s="62"/>
      <c r="S342" s="62"/>
      <c r="T342" s="57"/>
      <c r="U342" s="57"/>
      <c r="V342" s="57"/>
      <c r="W342" s="57"/>
      <c r="X342" s="57"/>
      <c r="Y342" s="35"/>
      <c r="Z342" s="24"/>
      <c r="AA342" s="26"/>
    </row>
    <row r="343" spans="2:27" s="11" customFormat="1" x14ac:dyDescent="0.3"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Q343" s="62"/>
      <c r="R343" s="62"/>
      <c r="S343" s="62"/>
      <c r="T343" s="57"/>
      <c r="U343" s="57"/>
      <c r="V343" s="57"/>
      <c r="W343" s="57"/>
      <c r="X343" s="57"/>
      <c r="Y343" s="35"/>
      <c r="Z343" s="24"/>
      <c r="AA343" s="26"/>
    </row>
    <row r="344" spans="2:27" s="11" customFormat="1" x14ac:dyDescent="0.3"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Q344" s="62"/>
      <c r="R344" s="62"/>
      <c r="S344" s="62"/>
      <c r="T344" s="57"/>
      <c r="U344" s="57"/>
      <c r="V344" s="57"/>
      <c r="W344" s="57"/>
      <c r="X344" s="57"/>
      <c r="Y344" s="35"/>
      <c r="Z344" s="24"/>
      <c r="AA344" s="26"/>
    </row>
    <row r="345" spans="2:27" s="11" customFormat="1" x14ac:dyDescent="0.3"/>
    <row r="346" spans="2:27" s="11" customFormat="1" x14ac:dyDescent="0.3"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Q346" s="29"/>
      <c r="R346" s="29"/>
      <c r="S346" s="29"/>
      <c r="T346" s="28"/>
      <c r="U346" s="28"/>
      <c r="V346" s="28"/>
      <c r="X346" s="27"/>
    </row>
    <row r="347" spans="2:27" s="11" customFormat="1" x14ac:dyDescent="0.3"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Q347" s="29"/>
      <c r="R347" s="29"/>
      <c r="S347" s="29"/>
      <c r="T347" s="28"/>
      <c r="U347" s="28"/>
      <c r="V347" s="28"/>
      <c r="X347" s="27"/>
    </row>
    <row r="348" spans="2:27" s="11" customFormat="1" x14ac:dyDescent="0.3"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Q348" s="29"/>
      <c r="R348" s="29"/>
      <c r="S348" s="29"/>
      <c r="T348" s="28"/>
      <c r="U348" s="28"/>
      <c r="V348" s="28"/>
      <c r="X348" s="27"/>
    </row>
    <row r="349" spans="2:27" s="11" customFormat="1" x14ac:dyDescent="0.3"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Q349" s="29"/>
      <c r="R349" s="29"/>
      <c r="S349" s="29"/>
      <c r="T349" s="28"/>
      <c r="U349" s="28"/>
      <c r="V349" s="28"/>
      <c r="X349" s="27"/>
    </row>
    <row r="350" spans="2:27" s="11" customFormat="1" x14ac:dyDescent="0.3"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Q350" s="29"/>
      <c r="R350" s="29"/>
      <c r="S350" s="29"/>
      <c r="T350" s="28"/>
      <c r="U350" s="28"/>
      <c r="V350" s="28"/>
      <c r="X350" s="27"/>
    </row>
    <row r="351" spans="2:27" s="58" customFormat="1" ht="21" x14ac:dyDescent="0.4">
      <c r="B351" s="59"/>
      <c r="P351" s="11"/>
    </row>
    <row r="352" spans="2:27" s="58" customFormat="1" ht="21" x14ac:dyDescent="0.4">
      <c r="B352" s="59"/>
      <c r="P352" s="11"/>
    </row>
    <row r="353" spans="2:25" s="58" customFormat="1" ht="15.75" customHeight="1" x14ac:dyDescent="0.3">
      <c r="B353" s="67"/>
      <c r="C353" s="62"/>
      <c r="D353" s="56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11"/>
      <c r="Q353" s="62"/>
      <c r="R353" s="62"/>
      <c r="S353" s="61"/>
    </row>
    <row r="354" spans="2:25" s="58" customFormat="1" x14ac:dyDescent="0.3">
      <c r="B354" s="67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11"/>
      <c r="Q354" s="62"/>
      <c r="R354" s="62"/>
      <c r="S354" s="61"/>
    </row>
    <row r="355" spans="2:25" s="58" customFormat="1" x14ac:dyDescent="0.3">
      <c r="B355" s="67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11"/>
      <c r="Q355" s="53"/>
      <c r="R355" s="53"/>
      <c r="S355" s="53"/>
    </row>
    <row r="356" spans="2:25" s="11" customFormat="1" x14ac:dyDescent="0.3">
      <c r="B356" s="25"/>
      <c r="C356" s="25"/>
      <c r="D356" s="25"/>
      <c r="E356" s="25"/>
      <c r="F356" s="60"/>
      <c r="G356" s="60"/>
      <c r="H356" s="25"/>
      <c r="I356" s="25"/>
      <c r="J356" s="25"/>
      <c r="K356" s="25"/>
      <c r="L356" s="25"/>
      <c r="M356" s="25"/>
      <c r="N356" s="25"/>
      <c r="O356" s="25"/>
      <c r="Q356" s="25"/>
      <c r="R356" s="25"/>
      <c r="S356" s="25"/>
      <c r="T356" s="25"/>
      <c r="U356" s="25"/>
      <c r="V356" s="25"/>
      <c r="X356" s="25"/>
    </row>
    <row r="357" spans="2:25" s="11" customFormat="1" x14ac:dyDescent="0.3"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Q357" s="62"/>
      <c r="R357" s="62"/>
      <c r="S357" s="62"/>
      <c r="T357" s="57"/>
      <c r="U357" s="57"/>
      <c r="V357" s="57"/>
      <c r="W357" s="57"/>
      <c r="X357" s="57"/>
    </row>
    <row r="358" spans="2:25" s="11" customFormat="1" x14ac:dyDescent="0.3"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Q358" s="62"/>
      <c r="R358" s="62"/>
      <c r="S358" s="62"/>
      <c r="T358" s="57"/>
      <c r="U358" s="57"/>
      <c r="V358" s="57"/>
      <c r="W358" s="57"/>
      <c r="X358" s="57"/>
    </row>
    <row r="359" spans="2:25" s="11" customFormat="1" x14ac:dyDescent="0.3"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Q359" s="62"/>
      <c r="R359" s="62"/>
      <c r="S359" s="62"/>
      <c r="T359" s="57"/>
      <c r="U359" s="57"/>
      <c r="V359" s="57"/>
      <c r="W359" s="57"/>
      <c r="X359" s="57"/>
    </row>
    <row r="360" spans="2:25" s="11" customFormat="1" x14ac:dyDescent="0.3"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Q360" s="62"/>
      <c r="R360" s="62"/>
      <c r="S360" s="62"/>
      <c r="T360" s="57"/>
      <c r="U360" s="57"/>
      <c r="V360" s="57"/>
      <c r="W360" s="57"/>
      <c r="X360" s="57"/>
    </row>
    <row r="361" spans="2:25" s="11" customFormat="1" x14ac:dyDescent="0.3"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Q361" s="69"/>
      <c r="R361" s="69"/>
      <c r="S361" s="69"/>
      <c r="T361" s="57"/>
      <c r="U361" s="57"/>
      <c r="V361" s="57"/>
      <c r="W361" s="57"/>
      <c r="X361" s="57"/>
    </row>
    <row r="362" spans="2:25" s="11" customFormat="1" x14ac:dyDescent="0.3">
      <c r="T362" s="57"/>
      <c r="U362" s="57"/>
      <c r="V362" s="57"/>
      <c r="W362" s="57"/>
      <c r="X362" s="57"/>
    </row>
    <row r="363" spans="2:25" s="11" customFormat="1" x14ac:dyDescent="0.3">
      <c r="B363" s="67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Q363" s="56"/>
      <c r="R363" s="56"/>
      <c r="S363" s="56"/>
      <c r="T363" s="57"/>
      <c r="U363" s="57"/>
      <c r="V363" s="57"/>
      <c r="W363" s="57"/>
      <c r="X363" s="57"/>
    </row>
    <row r="364" spans="2:25" s="58" customFormat="1" x14ac:dyDescent="0.3">
      <c r="B364" s="11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11"/>
      <c r="Q364" s="56"/>
      <c r="R364" s="56"/>
      <c r="S364" s="56"/>
      <c r="T364" s="57"/>
      <c r="U364" s="57"/>
      <c r="V364" s="57"/>
      <c r="W364" s="57"/>
      <c r="X364" s="57"/>
      <c r="Y364" s="11"/>
    </row>
    <row r="365" spans="2:25" s="58" customFormat="1" x14ac:dyDescent="0.3">
      <c r="B365" s="11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11"/>
      <c r="Q365" s="56"/>
      <c r="R365" s="56"/>
      <c r="S365" s="56"/>
      <c r="T365" s="57"/>
      <c r="U365" s="57"/>
      <c r="V365" s="57"/>
      <c r="W365" s="57"/>
      <c r="X365" s="57"/>
      <c r="Y365" s="11"/>
    </row>
    <row r="366" spans="2:25" s="11" customFormat="1" x14ac:dyDescent="0.3"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Q366" s="56"/>
      <c r="R366" s="56"/>
      <c r="S366" s="56"/>
      <c r="T366" s="57"/>
      <c r="U366" s="57"/>
      <c r="V366" s="57"/>
      <c r="W366" s="57"/>
      <c r="X366" s="57"/>
    </row>
    <row r="367" spans="2:25" s="11" customFormat="1" x14ac:dyDescent="0.3">
      <c r="B367" s="67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Q367" s="56"/>
      <c r="R367" s="56"/>
      <c r="S367" s="56"/>
      <c r="T367" s="58"/>
      <c r="U367" s="58"/>
      <c r="V367" s="58"/>
      <c r="W367" s="58"/>
      <c r="X367" s="58"/>
      <c r="Y367" s="58"/>
    </row>
    <row r="368" spans="2:25" s="11" customFormat="1" x14ac:dyDescent="0.3"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Q368" s="56"/>
      <c r="R368" s="56"/>
      <c r="S368" s="56"/>
      <c r="T368" s="57"/>
      <c r="U368" s="57"/>
      <c r="V368" s="57"/>
      <c r="W368" s="57"/>
      <c r="X368" s="57"/>
      <c r="Y368" s="58"/>
    </row>
    <row r="369" spans="2:27" s="11" customFormat="1" x14ac:dyDescent="0.3"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Q369" s="56"/>
      <c r="R369" s="56"/>
      <c r="S369" s="56"/>
      <c r="T369" s="57"/>
      <c r="U369" s="57"/>
      <c r="V369" s="57"/>
      <c r="W369" s="57"/>
      <c r="X369" s="57"/>
      <c r="Y369" s="58"/>
    </row>
    <row r="370" spans="2:27" s="11" customFormat="1" x14ac:dyDescent="0.3"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Q370" s="56"/>
      <c r="R370" s="56"/>
      <c r="S370" s="56"/>
      <c r="T370" s="57"/>
      <c r="U370" s="57"/>
      <c r="V370" s="57"/>
      <c r="W370" s="57"/>
      <c r="X370" s="57"/>
      <c r="Y370" s="58"/>
    </row>
    <row r="371" spans="2:27" s="11" customFormat="1" x14ac:dyDescent="0.3">
      <c r="B371" s="67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Q371" s="70"/>
      <c r="R371" s="70"/>
      <c r="S371" s="70"/>
      <c r="T371" s="58"/>
      <c r="U371" s="58"/>
      <c r="V371" s="58"/>
      <c r="W371" s="58"/>
      <c r="X371" s="58"/>
      <c r="Y371" s="58"/>
    </row>
    <row r="372" spans="2:27" s="11" customFormat="1" x14ac:dyDescent="0.3"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Q372" s="70"/>
      <c r="R372" s="70"/>
      <c r="S372" s="70"/>
      <c r="T372" s="57"/>
      <c r="U372" s="57"/>
      <c r="V372" s="57"/>
      <c r="W372" s="57"/>
      <c r="X372" s="57"/>
      <c r="Y372" s="58"/>
      <c r="Z372" s="25"/>
      <c r="AA372" s="25"/>
    </row>
    <row r="373" spans="2:27" s="11" customFormat="1" x14ac:dyDescent="0.3"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Q373" s="70"/>
      <c r="R373" s="70"/>
      <c r="S373" s="70"/>
      <c r="T373" s="57"/>
      <c r="U373" s="57"/>
      <c r="V373" s="57"/>
      <c r="W373" s="57"/>
      <c r="X373" s="57"/>
      <c r="Y373" s="58"/>
      <c r="Z373" s="24"/>
      <c r="AA373" s="26"/>
    </row>
    <row r="374" spans="2:27" s="11" customFormat="1" x14ac:dyDescent="0.3"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Q374" s="70"/>
      <c r="R374" s="70"/>
      <c r="S374" s="70"/>
      <c r="T374" s="57"/>
      <c r="U374" s="57"/>
      <c r="V374" s="57"/>
      <c r="W374" s="57"/>
      <c r="X374" s="57"/>
      <c r="Y374" s="58"/>
      <c r="Z374" s="24"/>
      <c r="AA374" s="26"/>
    </row>
    <row r="375" spans="2:27" s="11" customFormat="1" x14ac:dyDescent="0.3">
      <c r="B375" s="25"/>
      <c r="C375" s="25"/>
      <c r="D375" s="25"/>
      <c r="E375" s="25"/>
      <c r="F375" s="60"/>
      <c r="G375" s="60"/>
      <c r="H375" s="25"/>
      <c r="I375" s="25"/>
      <c r="J375" s="25"/>
      <c r="K375" s="25"/>
      <c r="L375" s="25"/>
      <c r="M375" s="25"/>
      <c r="N375" s="25"/>
      <c r="O375" s="25"/>
      <c r="Q375" s="25"/>
      <c r="R375" s="25"/>
      <c r="S375" s="25"/>
      <c r="T375" s="25"/>
      <c r="U375" s="25"/>
      <c r="V375" s="25"/>
      <c r="X375" s="25"/>
      <c r="Z375" s="24"/>
      <c r="AA375" s="26"/>
    </row>
    <row r="376" spans="2:27" s="11" customFormat="1" x14ac:dyDescent="0.3"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Q376" s="62"/>
      <c r="R376" s="62"/>
      <c r="S376" s="62"/>
      <c r="T376" s="57"/>
      <c r="U376" s="57"/>
      <c r="V376" s="57"/>
      <c r="W376" s="57"/>
      <c r="X376" s="57"/>
      <c r="Z376" s="24"/>
      <c r="AA376" s="26"/>
    </row>
    <row r="377" spans="2:27" s="11" customFormat="1" x14ac:dyDescent="0.3"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Q377" s="62"/>
      <c r="R377" s="62"/>
      <c r="S377" s="62"/>
      <c r="T377" s="57"/>
      <c r="U377" s="57"/>
      <c r="V377" s="57"/>
      <c r="W377" s="57"/>
      <c r="X377" s="57"/>
    </row>
    <row r="378" spans="2:27" s="11" customFormat="1" x14ac:dyDescent="0.3"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Q378" s="62"/>
      <c r="R378" s="62"/>
      <c r="S378" s="62"/>
      <c r="T378" s="57"/>
      <c r="U378" s="57"/>
      <c r="V378" s="57"/>
      <c r="W378" s="57"/>
      <c r="X378" s="57"/>
    </row>
    <row r="379" spans="2:27" s="11" customFormat="1" x14ac:dyDescent="0.3"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Q379" s="62"/>
      <c r="R379" s="62"/>
      <c r="S379" s="62"/>
      <c r="T379" s="57"/>
      <c r="U379" s="57"/>
      <c r="V379" s="57"/>
      <c r="W379" s="57"/>
      <c r="X379" s="57"/>
    </row>
    <row r="380" spans="2:27" s="11" customFormat="1" x14ac:dyDescent="0.3"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Q380" s="69"/>
      <c r="R380" s="69"/>
      <c r="S380" s="69"/>
    </row>
    <row r="381" spans="2:27" s="11" customFormat="1" x14ac:dyDescent="0.3">
      <c r="B381" s="25"/>
      <c r="C381" s="25"/>
      <c r="D381" s="25"/>
      <c r="E381" s="25"/>
      <c r="F381" s="60"/>
      <c r="G381" s="60"/>
      <c r="H381" s="25"/>
      <c r="I381" s="25"/>
      <c r="J381" s="25"/>
      <c r="K381" s="25"/>
      <c r="L381" s="25"/>
      <c r="M381" s="25"/>
      <c r="N381" s="25"/>
      <c r="O381" s="25"/>
      <c r="Q381" s="25"/>
      <c r="R381" s="25"/>
      <c r="S381" s="25"/>
      <c r="T381" s="25"/>
      <c r="U381" s="25"/>
      <c r="V381" s="25"/>
      <c r="X381" s="25"/>
      <c r="Y381" s="25"/>
      <c r="Z381" s="25"/>
    </row>
    <row r="382" spans="2:27" s="11" customFormat="1" x14ac:dyDescent="0.3"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Q382" s="62"/>
      <c r="R382" s="62"/>
      <c r="S382" s="62"/>
      <c r="T382" s="57"/>
      <c r="U382" s="57"/>
      <c r="V382" s="57"/>
      <c r="W382" s="57"/>
      <c r="X382" s="71"/>
      <c r="Y382" s="35"/>
      <c r="Z382" s="72"/>
    </row>
    <row r="383" spans="2:27" s="11" customFormat="1" x14ac:dyDescent="0.3"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Q383" s="62"/>
      <c r="R383" s="62"/>
      <c r="S383" s="62"/>
      <c r="T383" s="57"/>
      <c r="U383" s="57"/>
      <c r="V383" s="57"/>
      <c r="W383" s="57"/>
      <c r="X383" s="71"/>
      <c r="Y383" s="35"/>
      <c r="Z383" s="72"/>
    </row>
    <row r="384" spans="2:27" s="11" customFormat="1" x14ac:dyDescent="0.3"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Q384" s="62"/>
      <c r="R384" s="62"/>
      <c r="S384" s="62"/>
      <c r="T384" s="57"/>
      <c r="U384" s="57"/>
      <c r="V384" s="57"/>
      <c r="W384" s="57"/>
      <c r="X384" s="71"/>
      <c r="Y384" s="35"/>
      <c r="Z384" s="72"/>
    </row>
    <row r="385" spans="2:26" s="11" customFormat="1" x14ac:dyDescent="0.3"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Q385" s="62"/>
      <c r="R385" s="62"/>
      <c r="S385" s="62"/>
      <c r="T385" s="57"/>
      <c r="U385" s="57"/>
      <c r="V385" s="57"/>
      <c r="W385" s="57"/>
      <c r="X385" s="71"/>
      <c r="Y385" s="35"/>
      <c r="Z385" s="72"/>
    </row>
    <row r="386" spans="2:26" s="11" customFormat="1" x14ac:dyDescent="0.3"/>
    <row r="387" spans="2:26" s="11" customFormat="1" x14ac:dyDescent="0.3"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Q387" s="29"/>
      <c r="R387" s="29"/>
      <c r="S387" s="29"/>
      <c r="T387" s="28"/>
      <c r="U387" s="28"/>
      <c r="V387" s="28"/>
      <c r="X387" s="27"/>
    </row>
    <row r="388" spans="2:26" s="11" customFormat="1" x14ac:dyDescent="0.3"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Q388" s="29"/>
      <c r="R388" s="29"/>
      <c r="S388" s="29"/>
      <c r="T388" s="28"/>
      <c r="U388" s="28"/>
      <c r="V388" s="28"/>
      <c r="X388" s="27"/>
    </row>
    <row r="389" spans="2:26" s="11" customFormat="1" x14ac:dyDescent="0.3"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Q389" s="29"/>
      <c r="R389" s="29"/>
      <c r="S389" s="29"/>
      <c r="T389" s="28"/>
      <c r="U389" s="28"/>
      <c r="V389" s="28"/>
      <c r="X389" s="27"/>
    </row>
    <row r="390" spans="2:26" s="11" customFormat="1" x14ac:dyDescent="0.3"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Q390" s="29"/>
      <c r="R390" s="29"/>
      <c r="S390" s="29"/>
      <c r="T390" s="28"/>
      <c r="U390" s="28"/>
      <c r="V390" s="28"/>
      <c r="X390" s="27"/>
    </row>
    <row r="391" spans="2:26" s="11" customFormat="1" x14ac:dyDescent="0.3"/>
    <row r="392" spans="2:26" s="11" customFormat="1" x14ac:dyDescent="0.3">
      <c r="B392" s="34"/>
      <c r="C392" s="25"/>
      <c r="D392" s="25"/>
      <c r="E392" s="25"/>
      <c r="F392" s="60"/>
      <c r="G392" s="60"/>
      <c r="H392" s="25"/>
      <c r="I392" s="25"/>
      <c r="J392" s="25"/>
      <c r="K392" s="25"/>
      <c r="L392" s="25"/>
      <c r="M392" s="25"/>
      <c r="N392" s="25"/>
      <c r="O392" s="25"/>
      <c r="Q392" s="25"/>
      <c r="R392" s="25"/>
      <c r="S392" s="25"/>
      <c r="T392" s="25"/>
      <c r="U392" s="25"/>
      <c r="V392" s="25"/>
      <c r="X392" s="54"/>
    </row>
    <row r="393" spans="2:26" s="11" customFormat="1" x14ac:dyDescent="0.3"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Q393" s="53"/>
      <c r="R393" s="53"/>
      <c r="S393" s="53"/>
      <c r="X393" s="54"/>
    </row>
    <row r="394" spans="2:26" s="11" customFormat="1" x14ac:dyDescent="0.3"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Q394" s="53"/>
      <c r="R394" s="53"/>
      <c r="S394" s="53"/>
      <c r="X394" s="54"/>
    </row>
    <row r="395" spans="2:26" s="11" customFormat="1" x14ac:dyDescent="0.3"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Q395" s="53"/>
      <c r="R395" s="53"/>
      <c r="S395" s="53"/>
      <c r="X395" s="54"/>
    </row>
    <row r="396" spans="2:26" s="11" customFormat="1" x14ac:dyDescent="0.3"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Q396" s="53"/>
      <c r="R396" s="53"/>
      <c r="S396" s="53"/>
      <c r="X396" s="54"/>
    </row>
    <row r="397" spans="2:26" s="11" customFormat="1" x14ac:dyDescent="0.3">
      <c r="B397" s="34"/>
    </row>
    <row r="398" spans="2:26" s="11" customFormat="1" x14ac:dyDescent="0.3">
      <c r="B398" s="34"/>
      <c r="X398" s="54"/>
    </row>
    <row r="399" spans="2:26" s="11" customFormat="1" x14ac:dyDescent="0.3"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Q399" s="53"/>
      <c r="R399" s="53"/>
      <c r="S399" s="53"/>
      <c r="X399" s="54"/>
    </row>
    <row r="400" spans="2:26" s="11" customFormat="1" x14ac:dyDescent="0.3"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Q400" s="53"/>
      <c r="R400" s="53"/>
      <c r="S400" s="53"/>
      <c r="X400" s="54"/>
    </row>
    <row r="401" spans="2:26" s="11" customFormat="1" x14ac:dyDescent="0.3"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Q401" s="53"/>
      <c r="R401" s="53"/>
      <c r="S401" s="53"/>
      <c r="X401" s="54"/>
    </row>
    <row r="402" spans="2:26" s="11" customFormat="1" x14ac:dyDescent="0.3"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Q402" s="53"/>
      <c r="R402" s="53"/>
      <c r="S402" s="53"/>
      <c r="X402" s="54"/>
    </row>
    <row r="403" spans="2:26" s="11" customFormat="1" x14ac:dyDescent="0.3">
      <c r="B403" s="34"/>
    </row>
    <row r="404" spans="2:26" s="11" customFormat="1" x14ac:dyDescent="0.3">
      <c r="B404" s="34"/>
      <c r="Y404" s="70"/>
      <c r="Z404" s="61"/>
    </row>
    <row r="405" spans="2:26" s="11" customFormat="1" x14ac:dyDescent="0.3"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Q405" s="53"/>
      <c r="R405" s="53"/>
      <c r="S405" s="53"/>
      <c r="X405" s="73"/>
      <c r="Y405" s="54"/>
      <c r="Z405" s="54"/>
    </row>
    <row r="406" spans="2:26" s="11" customFormat="1" x14ac:dyDescent="0.3"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Q406" s="53"/>
      <c r="R406" s="53"/>
      <c r="S406" s="53"/>
      <c r="X406" s="73"/>
      <c r="Y406" s="54"/>
      <c r="Z406" s="54"/>
    </row>
    <row r="407" spans="2:26" s="11" customFormat="1" x14ac:dyDescent="0.3"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Q407" s="53"/>
      <c r="R407" s="53"/>
      <c r="S407" s="53"/>
      <c r="X407" s="73"/>
      <c r="Y407" s="54"/>
      <c r="Z407" s="54"/>
    </row>
    <row r="408" spans="2:26" s="11" customFormat="1" x14ac:dyDescent="0.3"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Q408" s="53"/>
      <c r="R408" s="53"/>
      <c r="S408" s="53"/>
      <c r="X408" s="73"/>
      <c r="Y408" s="54"/>
      <c r="Z408" s="54"/>
    </row>
    <row r="409" spans="2:26" s="11" customFormat="1" x14ac:dyDescent="0.3"/>
    <row r="410" spans="2:26" s="11" customFormat="1" x14ac:dyDescent="0.3"/>
    <row r="411" spans="2:26" s="11" customFormat="1" x14ac:dyDescent="0.3"/>
    <row r="412" spans="2:26" s="11" customFormat="1" x14ac:dyDescent="0.3"/>
    <row r="413" spans="2:26" s="11" customFormat="1" x14ac:dyDescent="0.3"/>
    <row r="414" spans="2:26" s="11" customFormat="1" x14ac:dyDescent="0.3"/>
    <row r="415" spans="2:26" s="11" customFormat="1" x14ac:dyDescent="0.3"/>
    <row r="416" spans="2:26" s="11" customFormat="1" x14ac:dyDescent="0.3"/>
    <row r="417" s="11" customFormat="1" x14ac:dyDescent="0.3"/>
    <row r="418" s="11" customFormat="1" x14ac:dyDescent="0.3"/>
    <row r="419" s="11" customFormat="1" x14ac:dyDescent="0.3"/>
    <row r="420" s="11" customFormat="1" x14ac:dyDescent="0.3"/>
    <row r="421" s="11" customFormat="1" x14ac:dyDescent="0.3"/>
    <row r="422" s="11" customFormat="1" x14ac:dyDescent="0.3"/>
    <row r="423" s="11" customFormat="1" x14ac:dyDescent="0.3"/>
    <row r="424" s="11" customFormat="1" x14ac:dyDescent="0.3"/>
    <row r="425" s="11" customFormat="1" x14ac:dyDescent="0.3"/>
    <row r="426" s="11" customFormat="1" x14ac:dyDescent="0.3"/>
    <row r="427" s="11" customFormat="1" x14ac:dyDescent="0.3"/>
    <row r="428" s="11" customFormat="1" x14ac:dyDescent="0.3"/>
    <row r="429" s="11" customFormat="1" x14ac:dyDescent="0.3"/>
    <row r="430" s="11" customFormat="1" x14ac:dyDescent="0.3"/>
    <row r="431" s="11" customFormat="1" x14ac:dyDescent="0.3"/>
    <row r="432" s="11" customFormat="1" x14ac:dyDescent="0.3"/>
    <row r="433" s="11" customFormat="1" x14ac:dyDescent="0.3"/>
    <row r="434" s="11" customFormat="1" x14ac:dyDescent="0.3"/>
    <row r="435" s="11" customFormat="1" x14ac:dyDescent="0.3"/>
    <row r="436" s="11" customFormat="1" x14ac:dyDescent="0.3"/>
    <row r="437" s="11" customFormat="1" x14ac:dyDescent="0.3"/>
    <row r="438" s="11" customFormat="1" x14ac:dyDescent="0.3"/>
    <row r="439" s="11" customFormat="1" x14ac:dyDescent="0.3"/>
    <row r="440" s="11" customFormat="1" x14ac:dyDescent="0.3"/>
    <row r="441" s="11" customFormat="1" x14ac:dyDescent="0.3"/>
    <row r="442" s="11" customFormat="1" x14ac:dyDescent="0.3"/>
    <row r="443" s="11" customFormat="1" x14ac:dyDescent="0.3"/>
    <row r="444" s="11" customFormat="1" x14ac:dyDescent="0.3"/>
    <row r="445" s="11" customFormat="1" x14ac:dyDescent="0.3"/>
    <row r="446" s="11" customFormat="1" x14ac:dyDescent="0.3"/>
    <row r="447" s="11" customFormat="1" x14ac:dyDescent="0.3"/>
    <row r="448" s="11" customFormat="1" x14ac:dyDescent="0.3"/>
    <row r="449" s="11" customFormat="1" x14ac:dyDescent="0.3"/>
    <row r="450" s="11" customFormat="1" x14ac:dyDescent="0.3"/>
    <row r="451" s="11" customFormat="1" x14ac:dyDescent="0.3"/>
    <row r="452" s="11" customFormat="1" x14ac:dyDescent="0.3"/>
    <row r="453" s="11" customFormat="1" x14ac:dyDescent="0.3"/>
    <row r="454" s="11" customFormat="1" x14ac:dyDescent="0.3"/>
    <row r="455" s="11" customFormat="1" x14ac:dyDescent="0.3"/>
    <row r="456" s="11" customFormat="1" x14ac:dyDescent="0.3"/>
    <row r="457" s="11" customFormat="1" x14ac:dyDescent="0.3"/>
    <row r="458" s="11" customFormat="1" x14ac:dyDescent="0.3"/>
    <row r="459" s="11" customFormat="1" x14ac:dyDescent="0.3"/>
    <row r="460" s="11" customFormat="1" x14ac:dyDescent="0.3"/>
    <row r="461" s="11" customFormat="1" x14ac:dyDescent="0.3"/>
    <row r="462" s="11" customFormat="1" x14ac:dyDescent="0.3"/>
    <row r="463" s="11" customFormat="1" x14ac:dyDescent="0.3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463"/>
  <sheetViews>
    <sheetView topLeftCell="A253" zoomScale="85" zoomScaleNormal="85" workbookViewId="0">
      <selection activeCell="I278" sqref="I278"/>
    </sheetView>
  </sheetViews>
  <sheetFormatPr defaultColWidth="9.109375" defaultRowHeight="14.4" x14ac:dyDescent="0.3"/>
  <cols>
    <col min="1" max="1" width="9.109375" style="3"/>
    <col min="2" max="2" width="43.109375" style="3" customWidth="1"/>
    <col min="3" max="3" width="10.109375" style="3" bestFit="1" customWidth="1"/>
    <col min="4" max="4" width="10.109375" style="3" customWidth="1"/>
    <col min="5" max="5" width="9.5546875" style="3" bestFit="1" customWidth="1"/>
    <col min="6" max="6" width="11.109375" style="3" bestFit="1" customWidth="1"/>
    <col min="7" max="7" width="10.109375" style="3" bestFit="1" customWidth="1"/>
    <col min="8" max="8" width="9.44140625" style="3" bestFit="1" customWidth="1"/>
    <col min="9" max="10" width="11.109375" style="3" bestFit="1" customWidth="1"/>
    <col min="11" max="11" width="9.44140625" style="3" bestFit="1" customWidth="1"/>
    <col min="12" max="12" width="10.109375" style="3" bestFit="1" customWidth="1"/>
    <col min="13" max="13" width="11.109375" style="3" bestFit="1" customWidth="1"/>
    <col min="14" max="14" width="9.44140625" style="3" bestFit="1" customWidth="1"/>
    <col min="15" max="15" width="9.44140625" style="3" customWidth="1"/>
    <col min="16" max="16" width="1.5546875" style="11" customWidth="1"/>
    <col min="17" max="19" width="9.44140625" style="3" bestFit="1" customWidth="1"/>
    <col min="20" max="20" width="10" style="3" bestFit="1" customWidth="1"/>
    <col min="21" max="21" width="10.88671875" style="3" bestFit="1" customWidth="1"/>
    <col min="22" max="22" width="9.5546875" style="3" bestFit="1" customWidth="1"/>
    <col min="23" max="23" width="9.5546875" style="3" customWidth="1"/>
    <col min="24" max="24" width="12.33203125" style="3" bestFit="1" customWidth="1"/>
    <col min="25" max="25" width="9.88671875" style="3" bestFit="1" customWidth="1"/>
    <col min="26" max="26" width="10.88671875" style="3" bestFit="1" customWidth="1"/>
    <col min="27" max="29" width="9.109375" style="3"/>
    <col min="30" max="30" width="9.6640625" style="3" bestFit="1" customWidth="1"/>
    <col min="31" max="16384" width="9.109375" style="3"/>
  </cols>
  <sheetData>
    <row r="2" spans="2:21" s="9" customFormat="1" ht="21" x14ac:dyDescent="0.35">
      <c r="B2" s="10" t="s">
        <v>11</v>
      </c>
    </row>
    <row r="3" spans="2:21" ht="30" x14ac:dyDescent="0.25">
      <c r="B3" s="43" t="s">
        <v>31</v>
      </c>
      <c r="C3" s="43" t="s">
        <v>0</v>
      </c>
      <c r="D3" s="43" t="s">
        <v>1</v>
      </c>
      <c r="E3" s="43" t="s">
        <v>28</v>
      </c>
      <c r="F3" s="2" t="s">
        <v>29</v>
      </c>
      <c r="G3" s="2" t="s">
        <v>6</v>
      </c>
      <c r="H3" s="43" t="s">
        <v>2</v>
      </c>
      <c r="I3" s="43" t="s">
        <v>3</v>
      </c>
      <c r="J3" s="43" t="s">
        <v>4</v>
      </c>
      <c r="K3" s="43" t="s">
        <v>9</v>
      </c>
      <c r="L3" s="43" t="s">
        <v>8</v>
      </c>
      <c r="M3" s="43" t="s">
        <v>25</v>
      </c>
      <c r="N3" s="43" t="s">
        <v>7</v>
      </c>
      <c r="O3" s="43" t="s">
        <v>89</v>
      </c>
      <c r="P3" s="25"/>
      <c r="Q3" s="43" t="s">
        <v>5</v>
      </c>
      <c r="R3" s="43" t="s">
        <v>91</v>
      </c>
      <c r="T3" s="43" t="s">
        <v>10</v>
      </c>
    </row>
    <row r="4" spans="2:21" ht="15" x14ac:dyDescent="0.25">
      <c r="B4" s="3">
        <v>2016</v>
      </c>
      <c r="C4" s="74">
        <f>'HC-BC'!C4</f>
        <v>36060</v>
      </c>
      <c r="D4" s="74">
        <f>'HC-BC'!D4</f>
        <v>1860</v>
      </c>
      <c r="E4" s="74">
        <f>'HC-BC'!E4</f>
        <v>424.6</v>
      </c>
      <c r="F4" s="74">
        <f>'HC-BC'!F4</f>
        <v>3419</v>
      </c>
      <c r="G4" s="74">
        <f>'HC-BC'!G4</f>
        <v>2179</v>
      </c>
      <c r="H4" s="74">
        <f>'HC-BC'!H4</f>
        <v>1306</v>
      </c>
      <c r="I4" s="74">
        <f>'HC-BC'!I4</f>
        <v>200</v>
      </c>
      <c r="J4" s="74">
        <f>'HC-BC'!J4</f>
        <v>1479</v>
      </c>
      <c r="K4" s="74">
        <f>'HC-BC'!K4</f>
        <v>0</v>
      </c>
      <c r="L4" s="74">
        <f>'HC-BC'!L4</f>
        <v>264</v>
      </c>
      <c r="M4" s="74">
        <f>'HC-BC'!M4</f>
        <v>0</v>
      </c>
      <c r="N4" s="74">
        <f>'HC-BC'!N4</f>
        <v>1580</v>
      </c>
      <c r="O4" s="74">
        <f>'HC-BC'!P4</f>
        <v>0</v>
      </c>
      <c r="P4" s="89"/>
      <c r="Q4" s="39">
        <f>G4+N4</f>
        <v>3759</v>
      </c>
      <c r="R4" s="5">
        <f>SUM(K4:L4)</f>
        <v>264</v>
      </c>
      <c r="T4" s="5">
        <f>SUM(C4:O4)</f>
        <v>48771.6</v>
      </c>
    </row>
    <row r="5" spans="2:21" ht="15" x14ac:dyDescent="0.25">
      <c r="B5" s="3">
        <v>2030</v>
      </c>
      <c r="C5" s="74">
        <f>'HC-BC'!C5</f>
        <v>23080</v>
      </c>
      <c r="D5" s="74">
        <f>'HC-BC'!D5</f>
        <v>1860</v>
      </c>
      <c r="E5" s="74">
        <f>'HC-BC'!E5</f>
        <v>424.6</v>
      </c>
      <c r="F5" s="74">
        <f>'HC-BC'!F5</f>
        <v>3077</v>
      </c>
      <c r="G5" s="74">
        <f>'HC-BC'!G5</f>
        <v>2179</v>
      </c>
      <c r="H5" s="74">
        <f>'HC-BC'!H5</f>
        <v>1306</v>
      </c>
      <c r="I5" s="74">
        <f>'HC-BC'!I5</f>
        <v>200</v>
      </c>
      <c r="J5" s="74">
        <f>'HC-BC'!J5</f>
        <v>1479</v>
      </c>
      <c r="K5" s="74">
        <f>'HC-BC'!K5</f>
        <v>0</v>
      </c>
      <c r="L5" s="74">
        <f>'HC-BC'!L5</f>
        <v>264</v>
      </c>
      <c r="M5" s="74">
        <f>'HC-BC'!M5</f>
        <v>0</v>
      </c>
      <c r="N5" s="74">
        <f>'HC-BC'!N5</f>
        <v>1580</v>
      </c>
      <c r="O5" s="74">
        <f>'HC-BC'!P5</f>
        <v>0</v>
      </c>
      <c r="P5" s="89"/>
      <c r="Q5" s="39">
        <f>G5+N5</f>
        <v>3759</v>
      </c>
      <c r="R5" s="5">
        <f>SUM(K5:L5)</f>
        <v>264</v>
      </c>
      <c r="T5" s="5">
        <f t="shared" ref="T5:T7" si="0">SUM(C5:O5)</f>
        <v>35449.599999999999</v>
      </c>
    </row>
    <row r="6" spans="2:21" ht="15" x14ac:dyDescent="0.25">
      <c r="B6" s="3">
        <v>2040</v>
      </c>
      <c r="C6" s="74">
        <f>'HC-BC'!C6</f>
        <v>7660</v>
      </c>
      <c r="D6" s="74">
        <f>'HC-BC'!D6</f>
        <v>1860</v>
      </c>
      <c r="E6" s="74">
        <f>'HC-BC'!E6</f>
        <v>424.6</v>
      </c>
      <c r="F6" s="74">
        <f>'HC-BC'!F6</f>
        <v>1005</v>
      </c>
      <c r="G6" s="74">
        <f>'HC-BC'!G6</f>
        <v>2179</v>
      </c>
      <c r="H6" s="74">
        <f>'HC-BC'!H6</f>
        <v>0</v>
      </c>
      <c r="I6" s="74">
        <f>'HC-BC'!I6</f>
        <v>200</v>
      </c>
      <c r="J6" s="74">
        <f>'HC-BC'!J6</f>
        <v>435</v>
      </c>
      <c r="K6" s="74">
        <f>'HC-BC'!K6</f>
        <v>0</v>
      </c>
      <c r="L6" s="74">
        <f>'HC-BC'!L6</f>
        <v>264</v>
      </c>
      <c r="M6" s="74">
        <f>'HC-BC'!M6</f>
        <v>0</v>
      </c>
      <c r="N6" s="74">
        <f>'HC-BC'!N6</f>
        <v>1580</v>
      </c>
      <c r="O6" s="74">
        <f>'HC-BC'!P6</f>
        <v>0</v>
      </c>
      <c r="P6" s="89"/>
      <c r="Q6" s="39">
        <f>G6+N6</f>
        <v>3759</v>
      </c>
      <c r="R6" s="5">
        <f>SUM(K6:L6)</f>
        <v>264</v>
      </c>
      <c r="T6" s="5">
        <f t="shared" si="0"/>
        <v>15607.6</v>
      </c>
    </row>
    <row r="7" spans="2:21" ht="15" x14ac:dyDescent="0.25">
      <c r="B7" s="3">
        <v>2050</v>
      </c>
      <c r="C7" s="74">
        <f>'HC-BC'!C7</f>
        <v>670</v>
      </c>
      <c r="D7" s="74">
        <f>'HC-BC'!D7</f>
        <v>0</v>
      </c>
      <c r="E7" s="74">
        <f>'HC-BC'!E7</f>
        <v>424.6</v>
      </c>
      <c r="F7" s="74">
        <f>'HC-BC'!F7</f>
        <v>0</v>
      </c>
      <c r="G7" s="74">
        <f>'HC-BC'!G7</f>
        <v>2179</v>
      </c>
      <c r="H7" s="74">
        <f>'HC-BC'!H7</f>
        <v>0</v>
      </c>
      <c r="I7" s="74">
        <f>'HC-BC'!I7</f>
        <v>0</v>
      </c>
      <c r="J7" s="74">
        <f>'HC-BC'!J7</f>
        <v>0</v>
      </c>
      <c r="K7" s="74">
        <f>'HC-BC'!K7</f>
        <v>0</v>
      </c>
      <c r="L7" s="74">
        <f>'HC-BC'!L7</f>
        <v>264</v>
      </c>
      <c r="M7" s="74">
        <f>'HC-BC'!M7</f>
        <v>0</v>
      </c>
      <c r="N7" s="74">
        <f>'HC-BC'!N7</f>
        <v>1580</v>
      </c>
      <c r="O7" s="74">
        <f>'HC-BC'!P7</f>
        <v>0</v>
      </c>
      <c r="P7" s="89"/>
      <c r="Q7" s="39">
        <f>G7+N7</f>
        <v>3759</v>
      </c>
      <c r="R7" s="5">
        <f>SUM(K7:L7)</f>
        <v>264</v>
      </c>
      <c r="T7" s="5">
        <f t="shared" si="0"/>
        <v>5117.6000000000004</v>
      </c>
    </row>
    <row r="9" spans="2:21" ht="30" x14ac:dyDescent="0.25">
      <c r="B9" s="43" t="s">
        <v>30</v>
      </c>
      <c r="C9" s="43" t="s">
        <v>0</v>
      </c>
      <c r="D9" s="43" t="s">
        <v>1</v>
      </c>
      <c r="E9" s="43" t="s">
        <v>28</v>
      </c>
      <c r="F9" s="2" t="s">
        <v>29</v>
      </c>
      <c r="G9" s="2" t="s">
        <v>6</v>
      </c>
      <c r="H9" s="43" t="s">
        <v>2</v>
      </c>
      <c r="I9" s="43" t="s">
        <v>3</v>
      </c>
      <c r="J9" s="43" t="s">
        <v>4</v>
      </c>
      <c r="K9" s="43" t="s">
        <v>9</v>
      </c>
      <c r="L9" s="43" t="s">
        <v>8</v>
      </c>
      <c r="M9" s="43" t="s">
        <v>25</v>
      </c>
      <c r="N9" s="43" t="s">
        <v>7</v>
      </c>
      <c r="O9" s="43" t="s">
        <v>89</v>
      </c>
      <c r="P9" s="25"/>
      <c r="Q9" s="43" t="s">
        <v>5</v>
      </c>
      <c r="R9" s="43" t="s">
        <v>91</v>
      </c>
      <c r="T9" s="43" t="s">
        <v>10</v>
      </c>
    </row>
    <row r="10" spans="2:21" ht="15" x14ac:dyDescent="0.25">
      <c r="B10" s="3">
        <v>2016</v>
      </c>
      <c r="C10" s="74">
        <f>'HC-BC'!C10</f>
        <v>722</v>
      </c>
      <c r="D10" s="74">
        <f>'HC-BC'!D10</f>
        <v>0</v>
      </c>
      <c r="E10" s="74">
        <f>'HC-BC'!E10</f>
        <v>0</v>
      </c>
      <c r="F10" s="74">
        <f>'HC-BC'!F10</f>
        <v>0</v>
      </c>
      <c r="G10" s="74">
        <f>'HC-BC'!G10</f>
        <v>0</v>
      </c>
      <c r="H10" s="74">
        <f>'HC-BC'!H10</f>
        <v>154</v>
      </c>
      <c r="I10" s="74">
        <f>'HC-BC'!I10</f>
        <v>0</v>
      </c>
      <c r="J10" s="74">
        <f>'HC-BC'!J10</f>
        <v>0</v>
      </c>
      <c r="K10" s="74">
        <f>'HC-BC'!K10</f>
        <v>0</v>
      </c>
      <c r="L10" s="74">
        <f>'HC-BC'!L10</f>
        <v>0</v>
      </c>
      <c r="M10" s="74">
        <f>'HC-BC'!M10</f>
        <v>0</v>
      </c>
      <c r="N10" s="74">
        <f>'HC-BC'!N10</f>
        <v>0</v>
      </c>
      <c r="O10" s="74">
        <f>'HC-BC'!P10</f>
        <v>0</v>
      </c>
      <c r="P10" s="89"/>
      <c r="Q10" s="39">
        <f>G10+N10</f>
        <v>0</v>
      </c>
      <c r="R10" s="5">
        <f>SUM(K10:L10)</f>
        <v>0</v>
      </c>
      <c r="T10" s="5">
        <f>SUM(C10:O10)</f>
        <v>876</v>
      </c>
    </row>
    <row r="11" spans="2:21" ht="15" x14ac:dyDescent="0.25">
      <c r="B11" s="3">
        <v>2030</v>
      </c>
      <c r="C11" s="74">
        <f>'HC-BC'!C11</f>
        <v>9536</v>
      </c>
      <c r="D11" s="74">
        <f>'HC-BC'!D11</f>
        <v>0</v>
      </c>
      <c r="E11" s="74">
        <f>'HC-BC'!E11</f>
        <v>0</v>
      </c>
      <c r="F11" s="74">
        <f>'HC-BC'!F11</f>
        <v>0</v>
      </c>
      <c r="G11" s="74">
        <f>'HC-BC'!G11</f>
        <v>45</v>
      </c>
      <c r="H11" s="74">
        <f>'HC-BC'!H11</f>
        <v>2800</v>
      </c>
      <c r="I11" s="74">
        <f>'HC-BC'!I11</f>
        <v>850</v>
      </c>
      <c r="J11" s="74">
        <f>'HC-BC'!J11</f>
        <v>1332</v>
      </c>
      <c r="K11" s="74">
        <f>'HC-BC'!K11</f>
        <v>53</v>
      </c>
      <c r="L11" s="74">
        <f>'HC-BC'!L11</f>
        <v>153</v>
      </c>
      <c r="M11" s="74">
        <f>'HC-BC'!M11</f>
        <v>0</v>
      </c>
      <c r="N11" s="74">
        <f>'HC-BC'!N11</f>
        <v>1332</v>
      </c>
      <c r="O11" s="74">
        <f>'HC-BC'!P11</f>
        <v>0</v>
      </c>
      <c r="P11" s="89"/>
      <c r="Q11" s="39">
        <f>G11+N11</f>
        <v>1377</v>
      </c>
      <c r="R11" s="5">
        <f>SUM(K11:L11)</f>
        <v>206</v>
      </c>
      <c r="T11" s="5">
        <f t="shared" ref="T11:T13" si="1">SUM(C11:O11)</f>
        <v>16101</v>
      </c>
    </row>
    <row r="12" spans="2:21" ht="15" x14ac:dyDescent="0.25">
      <c r="B12" s="3">
        <v>2040</v>
      </c>
      <c r="C12" s="74">
        <f>'HC-BC'!C12</f>
        <v>9536</v>
      </c>
      <c r="D12" s="74">
        <f>'HC-BC'!D12</f>
        <v>0</v>
      </c>
      <c r="E12" s="74">
        <f>'HC-BC'!E12</f>
        <v>0</v>
      </c>
      <c r="F12" s="74">
        <f>'HC-BC'!F12</f>
        <v>0</v>
      </c>
      <c r="G12" s="74">
        <f>'HC-BC'!G12</f>
        <v>45</v>
      </c>
      <c r="H12" s="74">
        <f>'HC-BC'!H12</f>
        <v>0</v>
      </c>
      <c r="I12" s="74">
        <f>'HC-BC'!I12</f>
        <v>850</v>
      </c>
      <c r="J12" s="74">
        <f>'HC-BC'!J12</f>
        <v>1332</v>
      </c>
      <c r="K12" s="74">
        <f>'HC-BC'!K12</f>
        <v>53</v>
      </c>
      <c r="L12" s="74">
        <f>'HC-BC'!L12</f>
        <v>153</v>
      </c>
      <c r="M12" s="74">
        <f>'HC-BC'!M12</f>
        <v>0</v>
      </c>
      <c r="N12" s="74">
        <f>'HC-BC'!N12</f>
        <v>1332</v>
      </c>
      <c r="O12" s="74">
        <f>'HC-BC'!P12</f>
        <v>0</v>
      </c>
      <c r="P12" s="89"/>
      <c r="Q12" s="39">
        <f>G12+N12</f>
        <v>1377</v>
      </c>
      <c r="R12" s="5">
        <f>SUM(K12:L12)</f>
        <v>206</v>
      </c>
      <c r="T12" s="5">
        <f t="shared" si="1"/>
        <v>13301</v>
      </c>
    </row>
    <row r="13" spans="2:21" ht="15" x14ac:dyDescent="0.25">
      <c r="B13" s="3">
        <v>2050</v>
      </c>
      <c r="C13" s="74">
        <f>'HC-BC'!C13</f>
        <v>9536</v>
      </c>
      <c r="D13" s="74">
        <f>'HC-BC'!D13</f>
        <v>0</v>
      </c>
      <c r="E13" s="74">
        <f>'HC-BC'!E13</f>
        <v>0</v>
      </c>
      <c r="F13" s="74">
        <f>'HC-BC'!F13</f>
        <v>0</v>
      </c>
      <c r="G13" s="74">
        <f>'HC-BC'!G13</f>
        <v>45</v>
      </c>
      <c r="H13" s="74">
        <f>'HC-BC'!H13</f>
        <v>0</v>
      </c>
      <c r="I13" s="74">
        <f>'HC-BC'!I13</f>
        <v>0</v>
      </c>
      <c r="J13" s="74">
        <f>'HC-BC'!J13</f>
        <v>0</v>
      </c>
      <c r="K13" s="74">
        <f>'HC-BC'!K13</f>
        <v>0</v>
      </c>
      <c r="L13" s="74">
        <f>'HC-BC'!L13</f>
        <v>0</v>
      </c>
      <c r="M13" s="74">
        <f>'HC-BC'!M13</f>
        <v>0</v>
      </c>
      <c r="N13" s="74">
        <f>'HC-BC'!N13</f>
        <v>1332</v>
      </c>
      <c r="O13" s="74">
        <f>'HC-BC'!P13</f>
        <v>0</v>
      </c>
      <c r="P13" s="89"/>
      <c r="Q13" s="39">
        <f>G13+N13</f>
        <v>1377</v>
      </c>
      <c r="R13" s="5">
        <f>SUM(K13:L13)</f>
        <v>0</v>
      </c>
      <c r="T13" s="5">
        <f t="shared" si="1"/>
        <v>10913</v>
      </c>
    </row>
    <row r="15" spans="2:21" ht="30" x14ac:dyDescent="0.25">
      <c r="B15" s="43" t="s">
        <v>32</v>
      </c>
      <c r="C15" s="43" t="s">
        <v>0</v>
      </c>
      <c r="D15" s="43" t="s">
        <v>1</v>
      </c>
      <c r="E15" s="43" t="s">
        <v>28</v>
      </c>
      <c r="F15" s="2" t="s">
        <v>29</v>
      </c>
      <c r="G15" s="2" t="s">
        <v>6</v>
      </c>
      <c r="H15" s="43" t="s">
        <v>2</v>
      </c>
      <c r="I15" s="43" t="s">
        <v>3</v>
      </c>
      <c r="J15" s="43" t="s">
        <v>4</v>
      </c>
      <c r="K15" s="43" t="s">
        <v>9</v>
      </c>
      <c r="L15" s="43" t="s">
        <v>8</v>
      </c>
      <c r="M15" s="43" t="s">
        <v>25</v>
      </c>
      <c r="N15" s="43" t="s">
        <v>7</v>
      </c>
      <c r="O15" s="43" t="s">
        <v>89</v>
      </c>
      <c r="P15" s="25"/>
      <c r="Q15" s="43" t="s">
        <v>5</v>
      </c>
      <c r="R15" s="43" t="s">
        <v>91</v>
      </c>
      <c r="T15" s="43" t="s">
        <v>10</v>
      </c>
    </row>
    <row r="16" spans="2:21" ht="15" x14ac:dyDescent="0.25">
      <c r="B16" s="3">
        <v>2016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89"/>
      <c r="Q16" s="39">
        <f>G16+N16</f>
        <v>0</v>
      </c>
      <c r="R16" s="5">
        <f>SUM(K16:L16)</f>
        <v>0</v>
      </c>
      <c r="T16" s="5">
        <f>SUM(C16:O16)</f>
        <v>0</v>
      </c>
      <c r="U16" s="104"/>
    </row>
    <row r="17" spans="1:23" ht="15" x14ac:dyDescent="0.25">
      <c r="B17" s="3">
        <v>2030</v>
      </c>
      <c r="C17" s="44">
        <v>0</v>
      </c>
      <c r="D17" s="44">
        <v>0</v>
      </c>
      <c r="E17" s="44">
        <v>0</v>
      </c>
      <c r="F17" s="44">
        <v>1056</v>
      </c>
      <c r="G17" s="44">
        <v>0</v>
      </c>
      <c r="H17" s="44">
        <v>13100</v>
      </c>
      <c r="I17" s="44">
        <v>0</v>
      </c>
      <c r="J17" s="44">
        <v>28400</v>
      </c>
      <c r="K17" s="44">
        <v>0</v>
      </c>
      <c r="L17" s="44">
        <v>0</v>
      </c>
      <c r="M17" s="44">
        <v>895</v>
      </c>
      <c r="N17" s="44">
        <v>333</v>
      </c>
      <c r="O17" s="44">
        <v>13554</v>
      </c>
      <c r="P17" s="89"/>
      <c r="Q17" s="39">
        <f>G17+N17</f>
        <v>333</v>
      </c>
      <c r="R17" s="5">
        <f>SUM(K17:L17)</f>
        <v>0</v>
      </c>
      <c r="T17" s="5">
        <f t="shared" ref="T17:T19" si="2">SUM(C17:O17)</f>
        <v>57338</v>
      </c>
      <c r="U17" s="104"/>
    </row>
    <row r="18" spans="1:23" ht="15" x14ac:dyDescent="0.25">
      <c r="B18" s="3">
        <v>2040</v>
      </c>
      <c r="C18" s="44">
        <v>0</v>
      </c>
      <c r="D18" s="44">
        <v>0</v>
      </c>
      <c r="E18" s="44">
        <v>2928</v>
      </c>
      <c r="F18" s="44">
        <v>13200</v>
      </c>
      <c r="G18" s="44">
        <v>0</v>
      </c>
      <c r="H18" s="44">
        <v>43700</v>
      </c>
      <c r="I18" s="44">
        <v>0</v>
      </c>
      <c r="J18" s="44">
        <v>95700</v>
      </c>
      <c r="K18" s="44">
        <v>0</v>
      </c>
      <c r="L18" s="44">
        <v>0</v>
      </c>
      <c r="M18" s="44">
        <v>3948</v>
      </c>
      <c r="N18" s="44">
        <v>333</v>
      </c>
      <c r="O18" s="44">
        <v>35406</v>
      </c>
      <c r="P18" s="89"/>
      <c r="Q18" s="39">
        <f>G18+N18</f>
        <v>333</v>
      </c>
      <c r="R18" s="5">
        <f>SUM(K18:L18)</f>
        <v>0</v>
      </c>
      <c r="T18" s="5">
        <f t="shared" si="2"/>
        <v>195215</v>
      </c>
      <c r="U18" s="104"/>
    </row>
    <row r="19" spans="1:23" ht="15" x14ac:dyDescent="0.25">
      <c r="B19" s="3">
        <v>2050</v>
      </c>
      <c r="C19" s="44">
        <v>0</v>
      </c>
      <c r="D19" s="44">
        <v>0</v>
      </c>
      <c r="E19" s="44">
        <v>8784</v>
      </c>
      <c r="F19" s="44">
        <v>24816</v>
      </c>
      <c r="G19" s="44">
        <v>0</v>
      </c>
      <c r="H19" s="44">
        <v>72900</v>
      </c>
      <c r="I19" s="44">
        <v>0</v>
      </c>
      <c r="J19" s="44">
        <v>139600</v>
      </c>
      <c r="K19" s="44">
        <v>0</v>
      </c>
      <c r="L19" s="44">
        <v>0</v>
      </c>
      <c r="M19" s="44">
        <v>4727</v>
      </c>
      <c r="N19" s="44">
        <v>333</v>
      </c>
      <c r="O19" s="44">
        <v>50220</v>
      </c>
      <c r="P19" s="89"/>
      <c r="Q19" s="39">
        <f>G19+N19</f>
        <v>333</v>
      </c>
      <c r="R19" s="5">
        <f>SUM(K19:L19)</f>
        <v>0</v>
      </c>
      <c r="T19" s="5">
        <f t="shared" si="2"/>
        <v>301380</v>
      </c>
      <c r="U19" s="104"/>
    </row>
    <row r="21" spans="1:23" ht="30" x14ac:dyDescent="0.25">
      <c r="B21" s="43" t="s">
        <v>33</v>
      </c>
      <c r="C21" s="43" t="s">
        <v>0</v>
      </c>
      <c r="D21" s="43" t="s">
        <v>1</v>
      </c>
      <c r="E21" s="43" t="s">
        <v>28</v>
      </c>
      <c r="F21" s="2" t="s">
        <v>29</v>
      </c>
      <c r="G21" s="2" t="s">
        <v>6</v>
      </c>
      <c r="H21" s="43" t="s">
        <v>2</v>
      </c>
      <c r="I21" s="43" t="s">
        <v>3</v>
      </c>
      <c r="J21" s="43" t="s">
        <v>4</v>
      </c>
      <c r="K21" s="43" t="s">
        <v>9</v>
      </c>
      <c r="L21" s="43" t="s">
        <v>8</v>
      </c>
      <c r="M21" s="43" t="s">
        <v>25</v>
      </c>
      <c r="N21" s="43" t="s">
        <v>7</v>
      </c>
      <c r="O21" s="43" t="s">
        <v>89</v>
      </c>
      <c r="P21" s="25"/>
      <c r="Q21" s="43" t="s">
        <v>5</v>
      </c>
      <c r="R21" s="43" t="s">
        <v>91</v>
      </c>
      <c r="T21" s="43" t="s">
        <v>10</v>
      </c>
      <c r="V21" s="25"/>
      <c r="W21" s="25"/>
    </row>
    <row r="22" spans="1:23" ht="15" x14ac:dyDescent="0.25">
      <c r="A22" s="39">
        <f>C22-C16</f>
        <v>36782</v>
      </c>
      <c r="B22" s="3">
        <v>2016</v>
      </c>
      <c r="C22" s="50">
        <f>C4+C10+C16</f>
        <v>36782</v>
      </c>
      <c r="D22" s="50">
        <f t="shared" ref="D22:O25" si="3">D4+D10+D16</f>
        <v>1860</v>
      </c>
      <c r="E22" s="50">
        <f t="shared" si="3"/>
        <v>424.6</v>
      </c>
      <c r="F22" s="50">
        <f t="shared" si="3"/>
        <v>3419</v>
      </c>
      <c r="G22" s="50">
        <f t="shared" si="3"/>
        <v>2179</v>
      </c>
      <c r="H22" s="50">
        <f t="shared" si="3"/>
        <v>1460</v>
      </c>
      <c r="I22" s="50">
        <f t="shared" si="3"/>
        <v>200</v>
      </c>
      <c r="J22" s="50">
        <f t="shared" si="3"/>
        <v>1479</v>
      </c>
      <c r="K22" s="50">
        <f t="shared" si="3"/>
        <v>0</v>
      </c>
      <c r="L22" s="50">
        <f t="shared" si="3"/>
        <v>264</v>
      </c>
      <c r="M22" s="50">
        <f t="shared" si="3"/>
        <v>0</v>
      </c>
      <c r="N22" s="50">
        <f t="shared" si="3"/>
        <v>1580</v>
      </c>
      <c r="O22" s="50">
        <f t="shared" si="3"/>
        <v>0</v>
      </c>
      <c r="P22" s="56"/>
      <c r="Q22" s="39">
        <f>G22+N22</f>
        <v>3759</v>
      </c>
      <c r="R22" s="5">
        <f>SUM(K22:L22)</f>
        <v>264</v>
      </c>
      <c r="T22" s="5">
        <f>SUM(C22:O22)</f>
        <v>49647.6</v>
      </c>
      <c r="V22" s="24"/>
      <c r="W22" s="26"/>
    </row>
    <row r="23" spans="1:23" ht="15" x14ac:dyDescent="0.25">
      <c r="A23" s="39">
        <f t="shared" ref="A23:A25" si="4">C23-C17</f>
        <v>32616</v>
      </c>
      <c r="B23" s="3">
        <v>2030</v>
      </c>
      <c r="C23" s="50">
        <f t="shared" ref="C23:N25" si="5">C5+C11+C17</f>
        <v>32616</v>
      </c>
      <c r="D23" s="50">
        <f t="shared" si="5"/>
        <v>1860</v>
      </c>
      <c r="E23" s="50">
        <f t="shared" si="5"/>
        <v>424.6</v>
      </c>
      <c r="F23" s="50">
        <f t="shared" si="5"/>
        <v>4133</v>
      </c>
      <c r="G23" s="50">
        <f t="shared" si="5"/>
        <v>2224</v>
      </c>
      <c r="H23" s="50">
        <f t="shared" si="5"/>
        <v>17206</v>
      </c>
      <c r="I23" s="50">
        <f t="shared" si="5"/>
        <v>1050</v>
      </c>
      <c r="J23" s="50">
        <f t="shared" si="5"/>
        <v>31211</v>
      </c>
      <c r="K23" s="50">
        <f t="shared" si="5"/>
        <v>53</v>
      </c>
      <c r="L23" s="50">
        <f t="shared" si="5"/>
        <v>417</v>
      </c>
      <c r="M23" s="50">
        <f t="shared" si="5"/>
        <v>895</v>
      </c>
      <c r="N23" s="50">
        <f t="shared" si="5"/>
        <v>3245</v>
      </c>
      <c r="O23" s="50">
        <f t="shared" si="3"/>
        <v>13554</v>
      </c>
      <c r="P23" s="56"/>
      <c r="Q23" s="39">
        <f>G23+N23</f>
        <v>5469</v>
      </c>
      <c r="R23" s="5">
        <f>SUM(K23:L23)</f>
        <v>470</v>
      </c>
      <c r="T23" s="5">
        <f t="shared" ref="T23:T25" si="6">SUM(C23:O23)</f>
        <v>108888.6</v>
      </c>
      <c r="V23" s="24"/>
      <c r="W23" s="26"/>
    </row>
    <row r="24" spans="1:23" ht="15" x14ac:dyDescent="0.25">
      <c r="A24" s="39">
        <f t="shared" si="4"/>
        <v>17196</v>
      </c>
      <c r="B24" s="3">
        <v>2040</v>
      </c>
      <c r="C24" s="50">
        <f t="shared" si="5"/>
        <v>17196</v>
      </c>
      <c r="D24" s="50">
        <f t="shared" si="5"/>
        <v>1860</v>
      </c>
      <c r="E24" s="50">
        <f t="shared" si="5"/>
        <v>3352.6</v>
      </c>
      <c r="F24" s="50">
        <f t="shared" si="5"/>
        <v>14205</v>
      </c>
      <c r="G24" s="50">
        <f t="shared" si="5"/>
        <v>2224</v>
      </c>
      <c r="H24" s="50">
        <f t="shared" si="5"/>
        <v>43700</v>
      </c>
      <c r="I24" s="50">
        <f t="shared" si="5"/>
        <v>1050</v>
      </c>
      <c r="J24" s="50">
        <f t="shared" si="5"/>
        <v>97467</v>
      </c>
      <c r="K24" s="50">
        <f t="shared" si="5"/>
        <v>53</v>
      </c>
      <c r="L24" s="50">
        <f t="shared" si="5"/>
        <v>417</v>
      </c>
      <c r="M24" s="50">
        <f t="shared" si="5"/>
        <v>3948</v>
      </c>
      <c r="N24" s="50">
        <f t="shared" si="5"/>
        <v>3245</v>
      </c>
      <c r="O24" s="50">
        <f t="shared" si="3"/>
        <v>35406</v>
      </c>
      <c r="P24" s="56"/>
      <c r="Q24" s="39">
        <f>G24+N24</f>
        <v>5469</v>
      </c>
      <c r="R24" s="5">
        <f>SUM(K24:L24)</f>
        <v>470</v>
      </c>
      <c r="T24" s="5">
        <f t="shared" si="6"/>
        <v>224123.6</v>
      </c>
      <c r="V24" s="24"/>
      <c r="W24" s="26"/>
    </row>
    <row r="25" spans="1:23" ht="15" x14ac:dyDescent="0.25">
      <c r="A25" s="39">
        <f t="shared" si="4"/>
        <v>10206</v>
      </c>
      <c r="B25" s="3">
        <v>2050</v>
      </c>
      <c r="C25" s="50">
        <f t="shared" si="5"/>
        <v>10206</v>
      </c>
      <c r="D25" s="50">
        <f t="shared" si="5"/>
        <v>0</v>
      </c>
      <c r="E25" s="50">
        <f t="shared" si="5"/>
        <v>9208.6</v>
      </c>
      <c r="F25" s="50">
        <f t="shared" si="5"/>
        <v>24816</v>
      </c>
      <c r="G25" s="50">
        <f t="shared" si="5"/>
        <v>2224</v>
      </c>
      <c r="H25" s="50">
        <f t="shared" si="5"/>
        <v>72900</v>
      </c>
      <c r="I25" s="50">
        <f t="shared" si="5"/>
        <v>0</v>
      </c>
      <c r="J25" s="50">
        <f t="shared" si="5"/>
        <v>139600</v>
      </c>
      <c r="K25" s="50">
        <f t="shared" si="5"/>
        <v>0</v>
      </c>
      <c r="L25" s="50">
        <f t="shared" si="5"/>
        <v>264</v>
      </c>
      <c r="M25" s="50">
        <f t="shared" si="5"/>
        <v>4727</v>
      </c>
      <c r="N25" s="50">
        <f t="shared" si="5"/>
        <v>3245</v>
      </c>
      <c r="O25" s="50">
        <f t="shared" si="3"/>
        <v>50220</v>
      </c>
      <c r="P25" s="56"/>
      <c r="Q25" s="39">
        <f>G25+N25</f>
        <v>5469</v>
      </c>
      <c r="R25" s="5">
        <f>SUM(K25:L25)</f>
        <v>264</v>
      </c>
      <c r="T25" s="5">
        <f t="shared" si="6"/>
        <v>317410.59999999998</v>
      </c>
      <c r="V25" s="24"/>
      <c r="W25" s="26"/>
    </row>
    <row r="26" spans="1:23" ht="15" x14ac:dyDescent="0.25">
      <c r="A26" s="39"/>
      <c r="V26" s="11"/>
      <c r="W26" s="11"/>
    </row>
    <row r="27" spans="1:23" ht="15" x14ac:dyDescent="0.25">
      <c r="A27" s="39"/>
      <c r="B27" s="3">
        <v>2016</v>
      </c>
      <c r="C27" s="23">
        <f t="shared" ref="C27:O27" si="7">C22/$T22</f>
        <v>0.74086159250396799</v>
      </c>
      <c r="D27" s="23">
        <f t="shared" si="7"/>
        <v>3.74640466004399E-2</v>
      </c>
      <c r="E27" s="23">
        <f t="shared" si="7"/>
        <v>8.5522764443799904E-3</v>
      </c>
      <c r="F27" s="23">
        <f t="shared" si="7"/>
        <v>6.8865363078980654E-2</v>
      </c>
      <c r="G27" s="23">
        <f t="shared" si="7"/>
        <v>4.3889332012020721E-2</v>
      </c>
      <c r="H27" s="23">
        <f t="shared" si="7"/>
        <v>2.9407262385291535E-2</v>
      </c>
      <c r="I27" s="23">
        <f t="shared" si="7"/>
        <v>4.0283921075741826E-3</v>
      </c>
      <c r="J27" s="23">
        <f t="shared" si="7"/>
        <v>2.9789959635511083E-2</v>
      </c>
      <c r="K27" s="23">
        <f t="shared" si="7"/>
        <v>0</v>
      </c>
      <c r="L27" s="23">
        <f t="shared" si="7"/>
        <v>5.3174775819979214E-3</v>
      </c>
      <c r="M27" s="23">
        <f t="shared" si="7"/>
        <v>0</v>
      </c>
      <c r="N27" s="23">
        <f t="shared" si="7"/>
        <v>3.1824297649836047E-2</v>
      </c>
      <c r="O27" s="23">
        <f t="shared" si="7"/>
        <v>0</v>
      </c>
      <c r="P27" s="26"/>
      <c r="Q27" s="7">
        <f t="shared" ref="Q27:R30" si="8">Q22/$T22</f>
        <v>7.5713629661856768E-2</v>
      </c>
      <c r="R27" s="7">
        <f t="shared" si="8"/>
        <v>5.3174775819979214E-3</v>
      </c>
      <c r="T27" s="8">
        <f>SUM(C27:O27)</f>
        <v>1</v>
      </c>
    </row>
    <row r="28" spans="1:23" ht="15" x14ac:dyDescent="0.25">
      <c r="A28" s="39"/>
      <c r="B28" s="3">
        <v>2030</v>
      </c>
      <c r="C28" s="23">
        <f t="shared" ref="C28:O28" si="9">C23/$T23</f>
        <v>0.29953548856354106</v>
      </c>
      <c r="D28" s="23">
        <f t="shared" si="9"/>
        <v>1.7081677971798701E-2</v>
      </c>
      <c r="E28" s="23">
        <f t="shared" si="9"/>
        <v>3.8993981004439402E-3</v>
      </c>
      <c r="F28" s="23">
        <f t="shared" si="9"/>
        <v>3.7956223149163457E-2</v>
      </c>
      <c r="G28" s="23">
        <f t="shared" si="9"/>
        <v>2.0424543983484037E-2</v>
      </c>
      <c r="H28" s="23">
        <f t="shared" si="9"/>
        <v>0.15801470493697228</v>
      </c>
      <c r="I28" s="23">
        <f t="shared" si="9"/>
        <v>9.6428827260153956E-3</v>
      </c>
      <c r="J28" s="23">
        <f t="shared" si="9"/>
        <v>0.28663239310634903</v>
      </c>
      <c r="K28" s="23">
        <f t="shared" si="9"/>
        <v>4.8673598521791996E-4</v>
      </c>
      <c r="L28" s="23">
        <f t="shared" si="9"/>
        <v>3.8296019969032567E-3</v>
      </c>
      <c r="M28" s="23">
        <f t="shared" si="9"/>
        <v>8.2194095616988372E-3</v>
      </c>
      <c r="N28" s="23">
        <f t="shared" si="9"/>
        <v>2.9801099472304721E-2</v>
      </c>
      <c r="O28" s="23">
        <f t="shared" si="9"/>
        <v>0.12447584044610729</v>
      </c>
      <c r="P28" s="26"/>
      <c r="Q28" s="7">
        <f t="shared" si="8"/>
        <v>5.0225643455788754E-2</v>
      </c>
      <c r="R28" s="7">
        <f t="shared" si="8"/>
        <v>4.3163379821211769E-3</v>
      </c>
      <c r="T28" s="8">
        <f t="shared" ref="T28:T30" si="10">SUM(C28:O28)</f>
        <v>0.99999999999999989</v>
      </c>
    </row>
    <row r="29" spans="1:23" ht="15" x14ac:dyDescent="0.25">
      <c r="A29" s="39"/>
      <c r="B29" s="3">
        <v>2040</v>
      </c>
      <c r="C29" s="23">
        <f t="shared" ref="C29:O29" si="11">C24/$T24</f>
        <v>7.6725521096395022E-2</v>
      </c>
      <c r="D29" s="23">
        <f t="shared" si="11"/>
        <v>8.2989921632527757E-3</v>
      </c>
      <c r="E29" s="23">
        <f t="shared" si="11"/>
        <v>1.4958710283075945E-2</v>
      </c>
      <c r="F29" s="23">
        <f t="shared" si="11"/>
        <v>6.3380206279035317E-2</v>
      </c>
      <c r="G29" s="23">
        <f t="shared" si="11"/>
        <v>9.9230960059538565E-3</v>
      </c>
      <c r="H29" s="23">
        <f t="shared" si="11"/>
        <v>0.19498169759900341</v>
      </c>
      <c r="I29" s="23">
        <f t="shared" si="11"/>
        <v>4.684914930868503E-3</v>
      </c>
      <c r="J29" s="23">
        <f t="shared" si="11"/>
        <v>0.43488057482567655</v>
      </c>
      <c r="K29" s="23">
        <f t="shared" si="11"/>
        <v>2.3647665841526727E-4</v>
      </c>
      <c r="L29" s="23">
        <f t="shared" si="11"/>
        <v>1.8605805011163482E-3</v>
      </c>
      <c r="M29" s="23">
        <f t="shared" si="11"/>
        <v>1.7615280140065571E-2</v>
      </c>
      <c r="N29" s="23">
        <f t="shared" si="11"/>
        <v>1.4478618048255516E-2</v>
      </c>
      <c r="O29" s="23">
        <f t="shared" si="11"/>
        <v>0.15797533146888593</v>
      </c>
      <c r="P29" s="26"/>
      <c r="Q29" s="7">
        <f t="shared" si="8"/>
        <v>2.4401714054209375E-2</v>
      </c>
      <c r="R29" s="7">
        <f t="shared" si="8"/>
        <v>2.0970571595316156E-3</v>
      </c>
      <c r="T29" s="8">
        <f t="shared" si="10"/>
        <v>1</v>
      </c>
    </row>
    <row r="30" spans="1:23" ht="15" x14ac:dyDescent="0.25">
      <c r="A30" s="39"/>
      <c r="B30" s="3">
        <v>2050</v>
      </c>
      <c r="C30" s="23">
        <f t="shared" ref="C30:O30" si="12">C25/$T25</f>
        <v>3.2153935627858683E-2</v>
      </c>
      <c r="D30" s="23">
        <f t="shared" si="12"/>
        <v>0</v>
      </c>
      <c r="E30" s="23">
        <f t="shared" si="12"/>
        <v>2.9011633511924307E-2</v>
      </c>
      <c r="F30" s="23">
        <f t="shared" si="12"/>
        <v>7.818264418390565E-2</v>
      </c>
      <c r="G30" s="23">
        <f t="shared" si="12"/>
        <v>7.0066973188671082E-3</v>
      </c>
      <c r="H30" s="23">
        <f t="shared" si="12"/>
        <v>0.22967096877041915</v>
      </c>
      <c r="I30" s="23">
        <f t="shared" si="12"/>
        <v>0</v>
      </c>
      <c r="J30" s="23">
        <f t="shared" si="12"/>
        <v>0.43980887846845695</v>
      </c>
      <c r="K30" s="23">
        <f t="shared" si="12"/>
        <v>0</v>
      </c>
      <c r="L30" s="23">
        <f t="shared" si="12"/>
        <v>8.3173025727559203E-4</v>
      </c>
      <c r="M30" s="23">
        <f t="shared" si="12"/>
        <v>1.4892382295991376E-2</v>
      </c>
      <c r="N30" s="23">
        <f t="shared" si="12"/>
        <v>1.0223351079012484E-2</v>
      </c>
      <c r="O30" s="23">
        <f t="shared" si="12"/>
        <v>0.15821777848628876</v>
      </c>
      <c r="P30" s="26"/>
      <c r="Q30" s="7">
        <f t="shared" si="8"/>
        <v>1.7230048397879592E-2</v>
      </c>
      <c r="R30" s="7">
        <f t="shared" si="8"/>
        <v>8.3173025727559203E-4</v>
      </c>
      <c r="T30" s="8">
        <f t="shared" si="10"/>
        <v>1</v>
      </c>
    </row>
    <row r="31" spans="1:23" ht="15" x14ac:dyDescent="0.25">
      <c r="A31" s="39"/>
    </row>
    <row r="32" spans="1:23" s="9" customFormat="1" ht="21" x14ac:dyDescent="0.35">
      <c r="A32" s="86"/>
      <c r="B32" s="10" t="s">
        <v>53</v>
      </c>
    </row>
    <row r="33" spans="1:37" ht="30" x14ac:dyDescent="0.25">
      <c r="A33" s="39"/>
      <c r="B33" s="43" t="s">
        <v>34</v>
      </c>
      <c r="C33" s="43" t="s">
        <v>0</v>
      </c>
      <c r="D33" s="43" t="s">
        <v>1</v>
      </c>
      <c r="E33" s="43" t="s">
        <v>28</v>
      </c>
      <c r="F33" s="2" t="s">
        <v>29</v>
      </c>
      <c r="G33" s="2" t="s">
        <v>6</v>
      </c>
      <c r="H33" s="43" t="s">
        <v>2</v>
      </c>
      <c r="I33" s="43" t="s">
        <v>3</v>
      </c>
      <c r="J33" s="43" t="s">
        <v>4</v>
      </c>
      <c r="K33" s="43" t="s">
        <v>9</v>
      </c>
      <c r="L33" s="43" t="s">
        <v>8</v>
      </c>
      <c r="M33" s="43" t="s">
        <v>25</v>
      </c>
      <c r="N33" s="43" t="s">
        <v>7</v>
      </c>
      <c r="O33" s="43" t="s">
        <v>89</v>
      </c>
      <c r="P33" s="25"/>
      <c r="Q33" s="43" t="s">
        <v>5</v>
      </c>
      <c r="R33" s="43" t="s">
        <v>91</v>
      </c>
      <c r="T33" s="43" t="s">
        <v>10</v>
      </c>
      <c r="X33" s="39"/>
      <c r="Y33" s="39"/>
      <c r="Z33" s="39"/>
    </row>
    <row r="34" spans="1:37" ht="15" x14ac:dyDescent="0.25">
      <c r="A34" s="39"/>
      <c r="B34" s="3">
        <v>2016</v>
      </c>
      <c r="C34" s="50">
        <f>'HC-BC'!C34</f>
        <v>194808.80434990322</v>
      </c>
      <c r="D34" s="50">
        <f>'HC-BC'!D34</f>
        <v>14743.87884401034</v>
      </c>
      <c r="E34" s="50">
        <f>'HC-BC'!E34</f>
        <v>756.07675598824017</v>
      </c>
      <c r="F34" s="50">
        <f>'HC-BC'!F34</f>
        <v>2024.3136712665919</v>
      </c>
      <c r="G34" s="50">
        <f>'HC-BC'!G34</f>
        <v>15799.124268819065</v>
      </c>
      <c r="H34" s="50">
        <f>'HC-BC'!H34</f>
        <v>4022.2162852660199</v>
      </c>
      <c r="I34" s="50">
        <f>'HC-BC'!I34</f>
        <v>827.66992563012559</v>
      </c>
      <c r="J34" s="50">
        <f>'HC-BC'!J34</f>
        <v>2639.0862346009021</v>
      </c>
      <c r="K34" s="50">
        <f>'HC-BC'!K34</f>
        <v>0</v>
      </c>
      <c r="L34" s="50">
        <f>'HC-BC'!L34</f>
        <v>1583.7347303540462</v>
      </c>
      <c r="M34" s="50">
        <f>'HC-BC'!M34</f>
        <v>0</v>
      </c>
      <c r="N34" s="50">
        <f>'HC-BC'!N34</f>
        <v>2994.3929759978951</v>
      </c>
      <c r="O34" s="50">
        <f>'HC-BC'!P34</f>
        <v>0</v>
      </c>
      <c r="P34" s="56"/>
      <c r="Q34" s="39">
        <f>G34+N34</f>
        <v>18793.517244816961</v>
      </c>
      <c r="R34" s="5">
        <f>SUM(K34:L34)</f>
        <v>1583.7347303540462</v>
      </c>
      <c r="T34" s="5">
        <f>SUM(C34:O34)</f>
        <v>240199.29804183645</v>
      </c>
      <c r="X34" s="39"/>
      <c r="Y34" s="39"/>
      <c r="Z34" s="39"/>
      <c r="AA34" s="39"/>
      <c r="AB34" s="39"/>
    </row>
    <row r="35" spans="1:37" ht="15" x14ac:dyDescent="0.25">
      <c r="A35" s="39"/>
      <c r="B35" s="3">
        <v>2030</v>
      </c>
      <c r="C35" s="102">
        <f>Y35*(Inputs_Summary!$E73/$Y53)</f>
        <v>123483.80683125948</v>
      </c>
      <c r="D35" s="102">
        <f>Z35*(Inputs_Summary!$E73/$Y53)</f>
        <v>14623.632685415192</v>
      </c>
      <c r="E35" s="102">
        <f>AA35*(Inputs_Summary!$E73/$Y53)</f>
        <v>2242.0999332130714</v>
      </c>
      <c r="F35" s="102">
        <f>AB35*(Inputs_Summary!$E73/$Y53)</f>
        <v>523.29265957156758</v>
      </c>
      <c r="G35" s="102">
        <f>AC35*(Inputs_Summary!$E73/$Y53)</f>
        <v>12967.049295270501</v>
      </c>
      <c r="H35" s="102">
        <f>AD35*(Inputs_Summary!$E73/$Y53)</f>
        <v>4187.3613402364226</v>
      </c>
      <c r="I35" s="102">
        <f>AE35*(Inputs_Summary!$E73/$Y53)</f>
        <v>839.51239537504898</v>
      </c>
      <c r="J35" s="102">
        <f>AF35*(Inputs_Summary!$E73/$Y53)</f>
        <v>2623.6037435050134</v>
      </c>
      <c r="K35" s="102">
        <f>AG35*(Inputs_Summary!$E73/$Y53)</f>
        <v>0</v>
      </c>
      <c r="L35" s="102">
        <f>AH35*(Inputs_Summary!$E73/$Y53)</f>
        <v>1556.6171510842341</v>
      </c>
      <c r="M35" s="102">
        <f>AI35*(Inputs_Summary!$E73/$Y53)</f>
        <v>0</v>
      </c>
      <c r="N35" s="102">
        <f>AJ35*(Inputs_Summary!$E73/$Y53)</f>
        <v>1127.1703485898288</v>
      </c>
      <c r="O35" s="102">
        <f>AK35*(Inputs_Summary!$E73/$Y53)</f>
        <v>0</v>
      </c>
      <c r="P35" s="56"/>
      <c r="Q35" s="39">
        <f>G35+N35</f>
        <v>14094.21964386033</v>
      </c>
      <c r="R35" s="5">
        <f>SUM(K35:L35)</f>
        <v>1556.6171510842341</v>
      </c>
      <c r="T35" s="5">
        <f t="shared" ref="T35:T37" si="13">SUM(C35:O35)</f>
        <v>164174.14638352036</v>
      </c>
      <c r="Y35" s="39">
        <v>121055</v>
      </c>
      <c r="Z35" s="39">
        <v>14336</v>
      </c>
      <c r="AA35" s="39">
        <v>2198</v>
      </c>
      <c r="AB35" s="39">
        <v>513</v>
      </c>
      <c r="AC35" s="39">
        <v>12712</v>
      </c>
      <c r="AD35" s="39">
        <v>4105</v>
      </c>
      <c r="AE35" s="3">
        <v>823</v>
      </c>
      <c r="AF35" s="39">
        <v>2572</v>
      </c>
      <c r="AG35" s="3">
        <v>0</v>
      </c>
      <c r="AH35" s="39">
        <v>1526</v>
      </c>
      <c r="AI35" s="3">
        <v>0</v>
      </c>
      <c r="AJ35" s="39">
        <v>1105</v>
      </c>
    </row>
    <row r="36" spans="1:37" ht="15" x14ac:dyDescent="0.25">
      <c r="A36" s="39"/>
      <c r="B36" s="3">
        <v>2040</v>
      </c>
      <c r="C36" s="102">
        <f>Y36*(Inputs_Summary!$E74/$Y54)</f>
        <v>27975.670289560527</v>
      </c>
      <c r="D36" s="102">
        <f>Z36*(Inputs_Summary!$E74/$Y54)</f>
        <v>14089.27632734814</v>
      </c>
      <c r="E36" s="102">
        <f>AA36*(Inputs_Summary!$E74/$Y54)</f>
        <v>2271.8807422627237</v>
      </c>
      <c r="F36" s="102">
        <f>AB36*(Inputs_Summary!$E74/$Y54)</f>
        <v>130.56785875073126</v>
      </c>
      <c r="G36" s="102">
        <f>AC36*(Inputs_Summary!$E74/$Y54)</f>
        <v>11985.125065172893</v>
      </c>
      <c r="H36" s="102">
        <f>AD36*(Inputs_Summary!$E74/$Y54)</f>
        <v>0</v>
      </c>
      <c r="I36" s="102">
        <f>AE36*(Inputs_Summary!$E74/$Y54)</f>
        <v>846.68234559128041</v>
      </c>
      <c r="J36" s="102">
        <f>AF36*(Inputs_Summary!$E74/$Y54)</f>
        <v>776.37657549473283</v>
      </c>
      <c r="K36" s="102">
        <f>AG36*(Inputs_Summary!$E74/$Y54)</f>
        <v>0</v>
      </c>
      <c r="L36" s="102">
        <f>AH36*(Inputs_Summary!$E74/$Y54)</f>
        <v>1575.8536183069027</v>
      </c>
      <c r="M36" s="102">
        <f>AI36*(Inputs_Summary!$E74/$Y54)</f>
        <v>0</v>
      </c>
      <c r="N36" s="102">
        <f>AJ36*(Inputs_Summary!$E74/$Y54)</f>
        <v>2764.021132938557</v>
      </c>
      <c r="O36" s="102">
        <f>AK36*(Inputs_Summary!$E74/$Y54)</f>
        <v>0</v>
      </c>
      <c r="P36" s="56"/>
      <c r="Q36" s="39">
        <f>G36+N36</f>
        <v>14749.14619811145</v>
      </c>
      <c r="R36" s="5">
        <f>SUM(K36:L36)</f>
        <v>1575.8536183069027</v>
      </c>
      <c r="T36" s="5">
        <f t="shared" si="13"/>
        <v>62415.453955426477</v>
      </c>
      <c r="Y36" s="39">
        <v>27854</v>
      </c>
      <c r="Z36" s="39">
        <v>14028</v>
      </c>
      <c r="AA36" s="39">
        <v>2262</v>
      </c>
      <c r="AB36" s="39">
        <v>130</v>
      </c>
      <c r="AC36" s="39">
        <v>11933</v>
      </c>
      <c r="AD36" s="39">
        <v>0</v>
      </c>
      <c r="AE36" s="3">
        <v>843</v>
      </c>
      <c r="AF36" s="3">
        <v>773</v>
      </c>
      <c r="AG36" s="3">
        <v>0</v>
      </c>
      <c r="AH36" s="39">
        <v>1569</v>
      </c>
      <c r="AI36" s="3">
        <v>0</v>
      </c>
      <c r="AJ36" s="39">
        <v>2752</v>
      </c>
    </row>
    <row r="37" spans="1:37" ht="15" x14ac:dyDescent="0.25">
      <c r="A37" s="39"/>
      <c r="B37" s="3">
        <v>2050</v>
      </c>
      <c r="C37" s="102">
        <f>Y37*(Inputs_Summary!$E75/$Y55)</f>
        <v>0</v>
      </c>
      <c r="D37" s="102">
        <f>Z37*(Inputs_Summary!$E75/$Y55)</f>
        <v>0</v>
      </c>
      <c r="E37" s="102">
        <f>AA37*(Inputs_Summary!$E75/$Y55)</f>
        <v>2238.1067298022131</v>
      </c>
      <c r="F37" s="102">
        <f>AB37*(Inputs_Summary!$E75/$Y55)</f>
        <v>0</v>
      </c>
      <c r="G37" s="102">
        <f>AC37*(Inputs_Summary!$E75/$Y55)</f>
        <v>11166.106836134644</v>
      </c>
      <c r="H37" s="102">
        <f>AD37*(Inputs_Summary!$E75/$Y55)</f>
        <v>0</v>
      </c>
      <c r="I37" s="102">
        <f>AE37*(Inputs_Summary!$E75/$Y55)</f>
        <v>0</v>
      </c>
      <c r="J37" s="102">
        <f>AF37*(Inputs_Summary!$E75/$Y55)</f>
        <v>0</v>
      </c>
      <c r="K37" s="102">
        <f>AG37*(Inputs_Summary!$E75/$Y55)</f>
        <v>0</v>
      </c>
      <c r="L37" s="102">
        <f>AH37*(Inputs_Summary!$E75/$Y55)</f>
        <v>1594.8673240564203</v>
      </c>
      <c r="M37" s="102">
        <f>AI37*(Inputs_Summary!$E75/$Y55)</f>
        <v>0</v>
      </c>
      <c r="N37" s="102">
        <f>AJ37*(Inputs_Summary!$E75/$Y55)</f>
        <v>3094.0629643468524</v>
      </c>
      <c r="O37" s="102">
        <f>AK37*(Inputs_Summary!$E75/$Y55)</f>
        <v>0</v>
      </c>
      <c r="P37" s="56"/>
      <c r="Q37" s="39">
        <f>G37+N37</f>
        <v>14260.169800481497</v>
      </c>
      <c r="R37" s="5">
        <f>SUM(K37:L37)</f>
        <v>1594.8673240564203</v>
      </c>
      <c r="T37" s="5">
        <f t="shared" si="13"/>
        <v>18093.143854340131</v>
      </c>
      <c r="Y37" s="39">
        <v>0</v>
      </c>
      <c r="Z37" s="39">
        <v>0</v>
      </c>
      <c r="AA37" s="39">
        <v>2199</v>
      </c>
      <c r="AB37" s="3">
        <v>0</v>
      </c>
      <c r="AC37" s="39">
        <v>10971</v>
      </c>
      <c r="AD37" s="39">
        <v>0</v>
      </c>
      <c r="AE37" s="3">
        <v>0</v>
      </c>
      <c r="AF37" s="3">
        <v>0</v>
      </c>
      <c r="AG37" s="3">
        <v>0</v>
      </c>
      <c r="AH37" s="39">
        <v>1567</v>
      </c>
      <c r="AI37" s="3">
        <v>0</v>
      </c>
      <c r="AJ37" s="39">
        <v>3040</v>
      </c>
    </row>
    <row r="38" spans="1:37" ht="15" x14ac:dyDescent="0.25">
      <c r="A38" s="39"/>
      <c r="Q38" s="5"/>
      <c r="R38" s="5"/>
      <c r="S38" s="5"/>
      <c r="X38" s="39"/>
      <c r="Y38" s="39"/>
      <c r="Z38" s="39"/>
      <c r="AA38" s="39"/>
      <c r="AB38" s="39"/>
    </row>
    <row r="39" spans="1:37" ht="30" x14ac:dyDescent="0.25">
      <c r="A39" s="39"/>
      <c r="B39" s="43" t="s">
        <v>35</v>
      </c>
      <c r="C39" s="43" t="s">
        <v>0</v>
      </c>
      <c r="D39" s="43" t="s">
        <v>1</v>
      </c>
      <c r="E39" s="43" t="s">
        <v>28</v>
      </c>
      <c r="F39" s="2" t="s">
        <v>29</v>
      </c>
      <c r="G39" s="2" t="s">
        <v>6</v>
      </c>
      <c r="H39" s="43" t="s">
        <v>2</v>
      </c>
      <c r="I39" s="43" t="s">
        <v>3</v>
      </c>
      <c r="J39" s="43" t="s">
        <v>4</v>
      </c>
      <c r="K39" s="43" t="s">
        <v>9</v>
      </c>
      <c r="L39" s="43" t="s">
        <v>8</v>
      </c>
      <c r="M39" s="43" t="s">
        <v>25</v>
      </c>
      <c r="N39" s="43" t="s">
        <v>7</v>
      </c>
      <c r="O39" s="43" t="s">
        <v>89</v>
      </c>
      <c r="P39" s="25"/>
      <c r="Q39" s="43" t="s">
        <v>5</v>
      </c>
      <c r="R39" s="43" t="s">
        <v>91</v>
      </c>
      <c r="T39" s="43" t="s">
        <v>10</v>
      </c>
      <c r="X39" s="39"/>
      <c r="Y39" s="39"/>
      <c r="Z39" s="39"/>
    </row>
    <row r="40" spans="1:37" ht="15" x14ac:dyDescent="0.25">
      <c r="A40" s="39"/>
      <c r="B40" s="3">
        <v>2016</v>
      </c>
      <c r="C40" s="102">
        <f>Y40*(Inputs_Summary!$E72/$Y52)</f>
        <v>0</v>
      </c>
      <c r="D40" s="102">
        <f>Z40*(Inputs_Summary!$E72/$Y52)</f>
        <v>0</v>
      </c>
      <c r="E40" s="102">
        <f>AA40*(Inputs_Summary!$E72/$Y52)</f>
        <v>0</v>
      </c>
      <c r="F40" s="102">
        <f>AB40*(Inputs_Summary!$E72/$Y52)</f>
        <v>0</v>
      </c>
      <c r="G40" s="102">
        <f>AC40*(Inputs_Summary!$E72/$Y52)</f>
        <v>0</v>
      </c>
      <c r="H40" s="102">
        <f>AD40*(Inputs_Summary!$E72/$Y52)</f>
        <v>0</v>
      </c>
      <c r="I40" s="102">
        <f>AE40*(Inputs_Summary!$E72/$Y52)</f>
        <v>0</v>
      </c>
      <c r="J40" s="102">
        <f>AF40*(Inputs_Summary!$E72/$Y52)</f>
        <v>0</v>
      </c>
      <c r="K40" s="102">
        <f>AG40*(Inputs_Summary!$E72/$Y52)</f>
        <v>0</v>
      </c>
      <c r="L40" s="102">
        <f>AH40*(Inputs_Summary!$E72/$Y52)</f>
        <v>0</v>
      </c>
      <c r="M40" s="102">
        <f>AI40*(Inputs_Summary!$E72/$Y52)</f>
        <v>0</v>
      </c>
      <c r="N40" s="102">
        <f>AJ40*(Inputs_Summary!$E72/$Y52)</f>
        <v>0</v>
      </c>
      <c r="O40" s="102">
        <f>AK40*(Inputs_Summary!$E72/$Y52)</f>
        <v>0</v>
      </c>
      <c r="P40" s="56"/>
      <c r="Q40" s="39">
        <f>G40+N40</f>
        <v>0</v>
      </c>
      <c r="R40" s="5">
        <f>SUM(K40:L40)</f>
        <v>0</v>
      </c>
      <c r="T40" s="5">
        <f>SUM(C40:O40)</f>
        <v>0</v>
      </c>
      <c r="X40" s="39"/>
      <c r="Y40" s="39"/>
      <c r="Z40" s="39"/>
      <c r="AA40" s="39"/>
      <c r="AB40" s="39"/>
    </row>
    <row r="41" spans="1:37" ht="15" x14ac:dyDescent="0.25">
      <c r="A41" s="39"/>
      <c r="B41" s="3">
        <v>2030</v>
      </c>
      <c r="C41" s="102">
        <f>Y41*(Inputs_Summary!$E73/$Y53)</f>
        <v>73142.644955009135</v>
      </c>
      <c r="D41" s="102">
        <f>Z41*(Inputs_Summary!$E73/$Y53)</f>
        <v>0</v>
      </c>
      <c r="E41" s="102">
        <f>AA41*(Inputs_Summary!$E73/$Y53)</f>
        <v>0</v>
      </c>
      <c r="F41" s="102">
        <f>AB41*(Inputs_Summary!$E73/$Y53)</f>
        <v>0</v>
      </c>
      <c r="G41" s="102">
        <f>AC41*(Inputs_Summary!$E73/$Y53)</f>
        <v>195.85222346538202</v>
      </c>
      <c r="H41" s="102">
        <f>AD41*(Inputs_Summary!$E73/$Y53)</f>
        <v>8978.6003694911069</v>
      </c>
      <c r="I41" s="102">
        <f>AE41*(Inputs_Summary!$E73/$Y53)</f>
        <v>4218.9833138167714</v>
      </c>
      <c r="J41" s="102">
        <f>AF41*(Inputs_Summary!$E73/$Y53)</f>
        <v>2363.4875092150528</v>
      </c>
      <c r="K41" s="102">
        <f>AG41*(Inputs_Summary!$E73/$Y53)</f>
        <v>353.9620913671227</v>
      </c>
      <c r="L41" s="102">
        <f>AH41*(Inputs_Summary!$E73/$Y53)</f>
        <v>1025.1639822016091</v>
      </c>
      <c r="M41" s="102">
        <f>AI41*(Inputs_Summary!$E73/$Y53)</f>
        <v>0</v>
      </c>
      <c r="N41" s="102">
        <f>AJ41*(Inputs_Summary!$E73/$Y53)</f>
        <v>1606.600270614462</v>
      </c>
      <c r="O41" s="102">
        <f>AK41*(Inputs_Summary!$E73/$Y53)</f>
        <v>0</v>
      </c>
      <c r="P41" s="56"/>
      <c r="Q41" s="39">
        <f>G41+N41</f>
        <v>1802.452494079844</v>
      </c>
      <c r="R41" s="5">
        <f>SUM(K41:L41)</f>
        <v>1379.1260735687317</v>
      </c>
      <c r="T41" s="5">
        <f t="shared" ref="T41:T43" si="14">SUM(C41:O41)</f>
        <v>91885.294715180644</v>
      </c>
      <c r="Y41" s="39">
        <v>71704</v>
      </c>
      <c r="Z41" s="39">
        <v>0</v>
      </c>
      <c r="AA41" s="39">
        <v>0</v>
      </c>
      <c r="AB41" s="39">
        <v>0</v>
      </c>
      <c r="AC41" s="39">
        <v>192</v>
      </c>
      <c r="AD41" s="39">
        <v>8802</v>
      </c>
      <c r="AE41" s="39">
        <v>4136</v>
      </c>
      <c r="AF41" s="39">
        <v>2317</v>
      </c>
      <c r="AG41" s="3">
        <v>347</v>
      </c>
      <c r="AH41" s="39">
        <v>1005</v>
      </c>
      <c r="AI41" s="3">
        <v>0</v>
      </c>
      <c r="AJ41" s="39">
        <v>1575</v>
      </c>
    </row>
    <row r="42" spans="1:37" ht="15" x14ac:dyDescent="0.25">
      <c r="A42" s="39"/>
      <c r="B42" s="3">
        <v>2040</v>
      </c>
      <c r="C42" s="102">
        <f>Y42*(Inputs_Summary!$E74/$Y54)</f>
        <v>55958.371156130706</v>
      </c>
      <c r="D42" s="102">
        <f>Z42*(Inputs_Summary!$E74/$Y54)</f>
        <v>0</v>
      </c>
      <c r="E42" s="102">
        <f>AA42*(Inputs_Summary!$E74/$Y54)</f>
        <v>0</v>
      </c>
      <c r="F42" s="102">
        <f>AB42*(Inputs_Summary!$E74/$Y54)</f>
        <v>0</v>
      </c>
      <c r="G42" s="102">
        <f>AC42*(Inputs_Summary!$E74/$Y54)</f>
        <v>204.89110142422444</v>
      </c>
      <c r="H42" s="102">
        <f>AD42*(Inputs_Summary!$E74/$Y54)</f>
        <v>0</v>
      </c>
      <c r="I42" s="102">
        <f>AE42*(Inputs_Summary!$E74/$Y54)</f>
        <v>4234.4160961006382</v>
      </c>
      <c r="J42" s="102">
        <f>AF42*(Inputs_Summary!$E74/$Y54)</f>
        <v>2377.3393974075452</v>
      </c>
      <c r="K42" s="102">
        <f>AG42*(Inputs_Summary!$E74/$Y54)</f>
        <v>354.54195491544721</v>
      </c>
      <c r="L42" s="102">
        <f>AH42*(Inputs_Summary!$E74/$Y54)</f>
        <v>1028.4729796980678</v>
      </c>
      <c r="M42" s="102">
        <f>AI42*(Inputs_Summary!$E74/$Y54)</f>
        <v>0</v>
      </c>
      <c r="N42" s="102">
        <f>AJ42*(Inputs_Summary!$E74/$Y54)</f>
        <v>2792.1434409771764</v>
      </c>
      <c r="O42" s="102">
        <f>AK42*(Inputs_Summary!$E74/$Y54)</f>
        <v>0</v>
      </c>
      <c r="P42" s="56"/>
      <c r="Q42" s="39">
        <f>G42+N42</f>
        <v>2997.0345424014008</v>
      </c>
      <c r="R42" s="5">
        <f>SUM(K42:L42)</f>
        <v>1383.0149346135149</v>
      </c>
      <c r="T42" s="5">
        <f t="shared" si="14"/>
        <v>66950.176126653809</v>
      </c>
      <c r="Y42" s="39">
        <v>55715</v>
      </c>
      <c r="Z42" s="39">
        <v>0</v>
      </c>
      <c r="AA42" s="3">
        <v>0</v>
      </c>
      <c r="AB42" s="39">
        <v>0</v>
      </c>
      <c r="AC42" s="39">
        <v>204</v>
      </c>
      <c r="AD42" s="39">
        <v>0</v>
      </c>
      <c r="AE42" s="39">
        <v>4216</v>
      </c>
      <c r="AF42" s="39">
        <v>2367</v>
      </c>
      <c r="AG42" s="3">
        <v>353</v>
      </c>
      <c r="AH42" s="39">
        <v>1024</v>
      </c>
      <c r="AI42" s="3">
        <v>0</v>
      </c>
      <c r="AJ42" s="39">
        <v>2780</v>
      </c>
    </row>
    <row r="43" spans="1:37" ht="15" x14ac:dyDescent="0.25">
      <c r="A43" s="39"/>
      <c r="B43" s="3">
        <v>2050</v>
      </c>
      <c r="C43" s="102">
        <f>Y43*(Inputs_Summary!$E75/$Y55)</f>
        <v>46866.911638896003</v>
      </c>
      <c r="D43" s="102">
        <f>Z43*(Inputs_Summary!$E75/$Y55)</f>
        <v>0</v>
      </c>
      <c r="E43" s="102">
        <f>AA43*(Inputs_Summary!$E75/$Y55)</f>
        <v>0</v>
      </c>
      <c r="F43" s="102">
        <f>AB43*(Inputs_Summary!$E75/$Y55)</f>
        <v>0</v>
      </c>
      <c r="G43" s="102">
        <f>AC43*(Inputs_Summary!$E75/$Y55)</f>
        <v>206.61012557974047</v>
      </c>
      <c r="H43" s="102">
        <f>AD43*(Inputs_Summary!$E75/$Y55)</f>
        <v>0</v>
      </c>
      <c r="I43" s="102">
        <f>AE43*(Inputs_Summary!$E75/$Y55)</f>
        <v>0</v>
      </c>
      <c r="J43" s="102">
        <f>AF43*(Inputs_Summary!$E75/$Y55)</f>
        <v>0</v>
      </c>
      <c r="K43" s="102">
        <f>AG43*(Inputs_Summary!$E75/$Y55)</f>
        <v>0</v>
      </c>
      <c r="L43" s="102">
        <f>AH43*(Inputs_Summary!$E75/$Y55)</f>
        <v>0</v>
      </c>
      <c r="M43" s="102">
        <f>AI43*(Inputs_Summary!$E75/$Y55)</f>
        <v>0</v>
      </c>
      <c r="N43" s="102">
        <f>AJ43*(Inputs_Summary!$E75/$Y55)</f>
        <v>2949.5376548280192</v>
      </c>
      <c r="O43" s="102">
        <f>AK43*(Inputs_Summary!$E75/$Y55)</f>
        <v>0</v>
      </c>
      <c r="P43" s="56"/>
      <c r="Q43" s="39">
        <f>G43+N43</f>
        <v>3156.1477804077595</v>
      </c>
      <c r="R43" s="5">
        <f>SUM(K43:L43)</f>
        <v>0</v>
      </c>
      <c r="T43" s="5">
        <f t="shared" si="14"/>
        <v>50023.059419303761</v>
      </c>
      <c r="X43" s="39"/>
      <c r="Y43" s="39">
        <v>46048</v>
      </c>
      <c r="Z43" s="39">
        <v>0</v>
      </c>
      <c r="AA43" s="3">
        <v>0</v>
      </c>
      <c r="AB43" s="3">
        <v>0</v>
      </c>
      <c r="AC43" s="39">
        <v>203</v>
      </c>
      <c r="AD43" s="39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9">
        <v>2898</v>
      </c>
    </row>
    <row r="44" spans="1:37" ht="15" x14ac:dyDescent="0.25">
      <c r="A44" s="39"/>
      <c r="Q44" s="5"/>
      <c r="R44" s="5"/>
      <c r="S44" s="5"/>
      <c r="X44" s="39"/>
      <c r="Y44" s="39"/>
      <c r="Z44" s="39"/>
      <c r="AA44" s="39"/>
      <c r="AB44" s="39"/>
    </row>
    <row r="45" spans="1:37" ht="30" x14ac:dyDescent="0.25">
      <c r="A45" s="39"/>
      <c r="B45" s="43" t="s">
        <v>36</v>
      </c>
      <c r="C45" s="43" t="s">
        <v>0</v>
      </c>
      <c r="D45" s="43" t="s">
        <v>1</v>
      </c>
      <c r="E45" s="43" t="s">
        <v>28</v>
      </c>
      <c r="F45" s="2" t="s">
        <v>29</v>
      </c>
      <c r="G45" s="2" t="s">
        <v>6</v>
      </c>
      <c r="H45" s="43" t="s">
        <v>2</v>
      </c>
      <c r="I45" s="43" t="s">
        <v>3</v>
      </c>
      <c r="J45" s="43" t="s">
        <v>4</v>
      </c>
      <c r="K45" s="43" t="s">
        <v>9</v>
      </c>
      <c r="L45" s="43" t="s">
        <v>8</v>
      </c>
      <c r="M45" s="43" t="s">
        <v>25</v>
      </c>
      <c r="N45" s="43" t="s">
        <v>7</v>
      </c>
      <c r="O45" s="43" t="s">
        <v>89</v>
      </c>
      <c r="P45" s="25"/>
      <c r="Q45" s="43" t="s">
        <v>5</v>
      </c>
      <c r="R45" s="43" t="s">
        <v>91</v>
      </c>
      <c r="T45" s="43" t="s">
        <v>10</v>
      </c>
      <c r="X45" s="39"/>
      <c r="Y45" s="39"/>
      <c r="Z45" s="39"/>
      <c r="AB45" s="39"/>
      <c r="AC45" s="39"/>
      <c r="AD45" s="39"/>
    </row>
    <row r="46" spans="1:37" ht="15" x14ac:dyDescent="0.25">
      <c r="A46" s="39"/>
      <c r="B46" s="3">
        <v>2016</v>
      </c>
      <c r="C46" s="102">
        <f>Y46*(Inputs_Summary!$E72/$Y52)</f>
        <v>0</v>
      </c>
      <c r="D46" s="102">
        <f>Z46*(Inputs_Summary!$E72/$Y52)</f>
        <v>0</v>
      </c>
      <c r="E46" s="102">
        <f>AA46*(Inputs_Summary!$E72/$Y52)</f>
        <v>0</v>
      </c>
      <c r="F46" s="102">
        <f>AB46*(Inputs_Summary!$E72/$Y52)</f>
        <v>0</v>
      </c>
      <c r="G46" s="102">
        <f>AC46*(Inputs_Summary!$E72/$Y52)</f>
        <v>0</v>
      </c>
      <c r="H46" s="102">
        <f>AD46*(Inputs_Summary!$E72/$Y52)</f>
        <v>0</v>
      </c>
      <c r="I46" s="102">
        <f>AE46*(Inputs_Summary!$E72/$Y52)</f>
        <v>0</v>
      </c>
      <c r="J46" s="102">
        <f>AF46*(Inputs_Summary!$E72/$Y52)</f>
        <v>0</v>
      </c>
      <c r="K46" s="102">
        <f>AG46*(Inputs_Summary!$E72/$Y52)</f>
        <v>0</v>
      </c>
      <c r="L46" s="102">
        <f>AH46*(Inputs_Summary!$E72/$Y52)</f>
        <v>0</v>
      </c>
      <c r="M46" s="102">
        <v>0</v>
      </c>
      <c r="N46" s="102">
        <f>AJ46*(Inputs_Summary!$E72/$Y52)</f>
        <v>0</v>
      </c>
      <c r="O46" s="102">
        <f>AK46*(Inputs_Summary!$E72/$Y52)</f>
        <v>0</v>
      </c>
      <c r="P46" s="56"/>
      <c r="Q46" s="39">
        <f>G46+N46</f>
        <v>0</v>
      </c>
      <c r="R46" s="5">
        <f>SUM(K46:L46)</f>
        <v>0</v>
      </c>
      <c r="T46" s="5">
        <f>SUM(C46:O46)</f>
        <v>0</v>
      </c>
      <c r="X46" s="39"/>
      <c r="Y46" s="39"/>
      <c r="Z46" s="39"/>
      <c r="AA46" s="39"/>
      <c r="AC46" s="39"/>
      <c r="AD46" s="39"/>
    </row>
    <row r="47" spans="1:37" ht="15" x14ac:dyDescent="0.25">
      <c r="A47" s="39"/>
      <c r="B47" s="3">
        <v>2030</v>
      </c>
      <c r="C47" s="102">
        <f>Y47*(Inputs_Summary!$E73/$Y53)</f>
        <v>0</v>
      </c>
      <c r="D47" s="102">
        <f>Z47*(Inputs_Summary!$E73/$Y53)</f>
        <v>0</v>
      </c>
      <c r="E47" s="102">
        <f>AA47*(Inputs_Summary!$E73/$Y53)</f>
        <v>0</v>
      </c>
      <c r="F47" s="102">
        <f>AB47*(Inputs_Summary!$E73/$Y53)</f>
        <v>644.68023557354911</v>
      </c>
      <c r="G47" s="102">
        <f>AC47*(Inputs_Summary!$E73/$Y53)</f>
        <v>0</v>
      </c>
      <c r="H47" s="102">
        <f>AD47*(Inputs_Summary!$E73/$Y53)</f>
        <v>42004.181551341149</v>
      </c>
      <c r="I47" s="102">
        <f>AE47*(Inputs_Summary!$E73/$Y53)</f>
        <v>0</v>
      </c>
      <c r="J47" s="102">
        <f>AF47*(Inputs_Summary!$E73/$Y53)</f>
        <v>50410.526205394344</v>
      </c>
      <c r="K47" s="102">
        <f>AG47*(Inputs_Summary!$E73/$Y53)</f>
        <v>0</v>
      </c>
      <c r="L47" s="102">
        <f>AH47*(Inputs_Summary!$E73/$Y53)</f>
        <v>0</v>
      </c>
      <c r="M47" s="102">
        <v>0</v>
      </c>
      <c r="N47" s="102">
        <f>AJ47*(Inputs_Summary!$E73/$Y53)</f>
        <v>481.4700493523975</v>
      </c>
      <c r="O47" s="102">
        <f>AK47*(Inputs_Summary!$E73/$Y53)</f>
        <v>15699.909283240771</v>
      </c>
      <c r="P47" s="56"/>
      <c r="Q47" s="39">
        <f>G47+N47</f>
        <v>481.4700493523975</v>
      </c>
      <c r="R47" s="5">
        <f>SUM(K47:L47)</f>
        <v>0</v>
      </c>
      <c r="T47" s="5">
        <f t="shared" ref="T47:T49" si="15">SUM(C47:O47)</f>
        <v>109240.76732490222</v>
      </c>
      <c r="Y47" s="39">
        <v>0</v>
      </c>
      <c r="Z47" s="39">
        <v>0</v>
      </c>
      <c r="AA47" s="39">
        <v>0</v>
      </c>
      <c r="AB47" s="39">
        <v>632</v>
      </c>
      <c r="AC47" s="3">
        <v>0</v>
      </c>
      <c r="AD47" s="39">
        <v>41178</v>
      </c>
      <c r="AE47" s="3">
        <v>0</v>
      </c>
      <c r="AF47" s="39">
        <v>49419</v>
      </c>
      <c r="AG47" s="3">
        <v>0</v>
      </c>
      <c r="AH47" s="3">
        <v>0</v>
      </c>
      <c r="AI47" s="39">
        <v>3010</v>
      </c>
      <c r="AJ47" s="3">
        <v>472</v>
      </c>
      <c r="AK47" s="39">
        <v>15391.10728</v>
      </c>
    </row>
    <row r="48" spans="1:37" ht="15" x14ac:dyDescent="0.25">
      <c r="A48" s="39"/>
      <c r="B48" s="3">
        <v>2040</v>
      </c>
      <c r="C48" s="102">
        <f>Y48*(Inputs_Summary!$E74/$Y54)</f>
        <v>0</v>
      </c>
      <c r="D48" s="102">
        <f>Z48*(Inputs_Summary!$E74/$Y54)</f>
        <v>0</v>
      </c>
      <c r="E48" s="102">
        <f>AA48*(Inputs_Summary!$E74/$Y54)</f>
        <v>6792.5417594707351</v>
      </c>
      <c r="F48" s="102">
        <f>AB48*(Inputs_Summary!$E74/$Y54)</f>
        <v>5754.0250983303031</v>
      </c>
      <c r="G48" s="102">
        <f>AC48*(Inputs_Summary!$E74/$Y54)</f>
        <v>0</v>
      </c>
      <c r="H48" s="102">
        <f>AD48*(Inputs_Summary!$E74/$Y54)</f>
        <v>134700.83366426404</v>
      </c>
      <c r="I48" s="102">
        <f>AE48*(Inputs_Summary!$E74/$Y54)</f>
        <v>0</v>
      </c>
      <c r="J48" s="102">
        <f>AF48*(Inputs_Summary!$E74/$Y54)</f>
        <v>164061.52762472653</v>
      </c>
      <c r="K48" s="102">
        <f>AG48*(Inputs_Summary!$E74/$Y54)</f>
        <v>0</v>
      </c>
      <c r="L48" s="102">
        <f>AH48*(Inputs_Summary!$E74/$Y54)</f>
        <v>0</v>
      </c>
      <c r="M48" s="102">
        <v>0</v>
      </c>
      <c r="N48" s="102">
        <f>AJ48*(Inputs_Summary!$E74/$Y54)</f>
        <v>807.51198796606104</v>
      </c>
      <c r="O48" s="102">
        <f>AK48*(Inputs_Summary!$E74/$Y54)</f>
        <v>39080.445825627547</v>
      </c>
      <c r="P48" s="56"/>
      <c r="Q48" s="39">
        <f>G48+N48</f>
        <v>807.51198796606104</v>
      </c>
      <c r="R48" s="5">
        <f>SUM(K48:L48)</f>
        <v>0</v>
      </c>
      <c r="T48" s="5">
        <f t="shared" si="15"/>
        <v>351196.8859603852</v>
      </c>
      <c r="Y48" s="39">
        <v>0</v>
      </c>
      <c r="Z48" s="39">
        <v>0</v>
      </c>
      <c r="AA48" s="39">
        <v>6763</v>
      </c>
      <c r="AB48" s="39">
        <v>5729</v>
      </c>
      <c r="AC48" s="39">
        <v>0</v>
      </c>
      <c r="AD48" s="39">
        <v>134115</v>
      </c>
      <c r="AE48" s="3">
        <v>0</v>
      </c>
      <c r="AF48" s="39">
        <v>163348</v>
      </c>
      <c r="AG48" s="39">
        <v>0</v>
      </c>
      <c r="AH48" s="3">
        <v>0</v>
      </c>
      <c r="AI48" s="39">
        <v>11151</v>
      </c>
      <c r="AJ48" s="3">
        <v>804</v>
      </c>
      <c r="AK48" s="39">
        <v>38910.479240000001</v>
      </c>
    </row>
    <row r="49" spans="1:37" ht="15" x14ac:dyDescent="0.25">
      <c r="A49" s="39"/>
      <c r="B49" s="3">
        <v>2050</v>
      </c>
      <c r="C49" s="102">
        <f>Y49*(Inputs_Summary!$E75/$Y55)</f>
        <v>0</v>
      </c>
      <c r="D49" s="102">
        <f>Z49*(Inputs_Summary!$E75/$Y55)</f>
        <v>0</v>
      </c>
      <c r="E49" s="102">
        <f>AA49*(Inputs_Summary!$E75/$Y55)</f>
        <v>22100.158949943274</v>
      </c>
      <c r="F49" s="102">
        <f>AB49*(Inputs_Summary!$E75/$Y55)</f>
        <v>9213.9973737605433</v>
      </c>
      <c r="G49" s="102">
        <f>AC49*(Inputs_Summary!$E75/$Y55)</f>
        <v>0</v>
      </c>
      <c r="H49" s="102">
        <f>AD49*(Inputs_Summary!$E75/$Y55)</f>
        <v>223262.08747437166</v>
      </c>
      <c r="I49" s="102">
        <f>AE49*(Inputs_Summary!$E75/$Y55)</f>
        <v>0</v>
      </c>
      <c r="J49" s="102">
        <f>AF49*(Inputs_Summary!$E75/$Y55)</f>
        <v>213463.88215931668</v>
      </c>
      <c r="K49" s="102">
        <f>AG49*(Inputs_Summary!$E75/$Y55)</f>
        <v>0</v>
      </c>
      <c r="L49" s="102">
        <f>AH49*(Inputs_Summary!$E75/$Y55)</f>
        <v>0</v>
      </c>
      <c r="M49" s="102">
        <v>0</v>
      </c>
      <c r="N49" s="102">
        <f>AJ49*(Inputs_Summary!$E75/$Y55)</f>
        <v>860.02737002404285</v>
      </c>
      <c r="O49" s="102">
        <f>AK49*(Inputs_Summary!$E75/$Y55)</f>
        <v>52635.936510341038</v>
      </c>
      <c r="P49" s="56"/>
      <c r="Q49" s="39">
        <f>G49+N49</f>
        <v>860.02737002404285</v>
      </c>
      <c r="R49" s="5">
        <f>SUM(K49:L49)</f>
        <v>0</v>
      </c>
      <c r="T49" s="5">
        <f t="shared" si="15"/>
        <v>521536.08983775729</v>
      </c>
      <c r="Y49" s="3">
        <v>0</v>
      </c>
      <c r="Z49" s="39">
        <v>0</v>
      </c>
      <c r="AA49" s="39">
        <v>21714</v>
      </c>
      <c r="AB49" s="39">
        <v>9053</v>
      </c>
      <c r="AC49" s="39">
        <v>0</v>
      </c>
      <c r="AD49" s="39">
        <v>219361</v>
      </c>
      <c r="AE49" s="39">
        <v>0</v>
      </c>
      <c r="AF49" s="39">
        <v>209734</v>
      </c>
      <c r="AG49" s="39">
        <v>0</v>
      </c>
      <c r="AH49" s="39">
        <v>0</v>
      </c>
      <c r="AI49" s="39">
        <v>9918</v>
      </c>
      <c r="AJ49" s="39">
        <v>845</v>
      </c>
      <c r="AK49" s="39">
        <v>51716.221949999999</v>
      </c>
    </row>
    <row r="50" spans="1:37" ht="15" x14ac:dyDescent="0.25">
      <c r="A50" s="39"/>
    </row>
    <row r="51" spans="1:37" ht="30" x14ac:dyDescent="0.25">
      <c r="A51" s="39"/>
      <c r="B51" s="43" t="s">
        <v>13</v>
      </c>
      <c r="C51" s="43" t="s">
        <v>0</v>
      </c>
      <c r="D51" s="43" t="s">
        <v>1</v>
      </c>
      <c r="E51" s="43" t="s">
        <v>28</v>
      </c>
      <c r="F51" s="2" t="s">
        <v>29</v>
      </c>
      <c r="G51" s="2" t="s">
        <v>6</v>
      </c>
      <c r="H51" s="43" t="s">
        <v>2</v>
      </c>
      <c r="I51" s="43" t="s">
        <v>3</v>
      </c>
      <c r="J51" s="43" t="s">
        <v>4</v>
      </c>
      <c r="K51" s="43" t="s">
        <v>9</v>
      </c>
      <c r="L51" s="43" t="s">
        <v>8</v>
      </c>
      <c r="M51" s="43" t="s">
        <v>25</v>
      </c>
      <c r="N51" s="43" t="s">
        <v>7</v>
      </c>
      <c r="O51" s="43" t="s">
        <v>89</v>
      </c>
      <c r="P51" s="25"/>
      <c r="Q51" s="43" t="s">
        <v>5</v>
      </c>
      <c r="R51" s="43" t="s">
        <v>91</v>
      </c>
      <c r="T51" s="43" t="s">
        <v>10</v>
      </c>
      <c r="U51" s="43"/>
      <c r="V51" s="43"/>
      <c r="W51" s="43" t="s">
        <v>16</v>
      </c>
      <c r="X51" s="43" t="s">
        <v>15</v>
      </c>
    </row>
    <row r="52" spans="1:37" ht="15" x14ac:dyDescent="0.25">
      <c r="A52" s="39">
        <f>C52-C46</f>
        <v>194808.80434990322</v>
      </c>
      <c r="B52" s="3">
        <v>2016</v>
      </c>
      <c r="C52" s="50">
        <f>C34+C40+C46</f>
        <v>194808.80434990322</v>
      </c>
      <c r="D52" s="50">
        <f t="shared" ref="D52:O55" si="16">D34+D40+D46</f>
        <v>14743.87884401034</v>
      </c>
      <c r="E52" s="50">
        <f t="shared" si="16"/>
        <v>756.07675598824017</v>
      </c>
      <c r="F52" s="50">
        <f t="shared" si="16"/>
        <v>2024.3136712665919</v>
      </c>
      <c r="G52" s="50">
        <f t="shared" si="16"/>
        <v>15799.124268819065</v>
      </c>
      <c r="H52" s="50">
        <f t="shared" si="16"/>
        <v>4022.2162852660199</v>
      </c>
      <c r="I52" s="50">
        <f t="shared" si="16"/>
        <v>827.66992563012559</v>
      </c>
      <c r="J52" s="50">
        <f t="shared" si="16"/>
        <v>2639.0862346009021</v>
      </c>
      <c r="K52" s="50">
        <f t="shared" si="16"/>
        <v>0</v>
      </c>
      <c r="L52" s="50">
        <f t="shared" si="16"/>
        <v>1583.7347303540462</v>
      </c>
      <c r="M52" s="50">
        <f t="shared" si="16"/>
        <v>0</v>
      </c>
      <c r="N52" s="50">
        <f t="shared" si="16"/>
        <v>2994.3929759978951</v>
      </c>
      <c r="O52" s="50">
        <f t="shared" si="16"/>
        <v>0</v>
      </c>
      <c r="P52" s="56"/>
      <c r="Q52" s="39">
        <f>G52+N52</f>
        <v>18793.517244816961</v>
      </c>
      <c r="R52" s="5">
        <f>SUM(K52:L52)</f>
        <v>1583.7347303540462</v>
      </c>
      <c r="T52" s="5">
        <f>SUM(C52:O52)</f>
        <v>240199.29804183645</v>
      </c>
      <c r="W52" s="18">
        <f>SUM(G52:L52)</f>
        <v>24871.831444670155</v>
      </c>
      <c r="X52" s="23">
        <f>W52/Inputs_Summary!J72</f>
        <v>0.10273922781756209</v>
      </c>
      <c r="Y52" s="39">
        <v>240333.53100000005</v>
      </c>
      <c r="Z52" s="39"/>
    </row>
    <row r="53" spans="1:37" ht="15" x14ac:dyDescent="0.25">
      <c r="A53" s="39">
        <f t="shared" ref="A53:A55" si="17">C53-C47</f>
        <v>196626.45178626862</v>
      </c>
      <c r="B53" s="3">
        <v>2030</v>
      </c>
      <c r="C53" s="50">
        <f t="shared" ref="C53:N55" si="18">C35+C41+C47</f>
        <v>196626.45178626862</v>
      </c>
      <c r="D53" s="50">
        <f t="shared" si="18"/>
        <v>14623.632685415192</v>
      </c>
      <c r="E53" s="50">
        <f t="shared" si="18"/>
        <v>2242.0999332130714</v>
      </c>
      <c r="F53" s="50">
        <f t="shared" si="18"/>
        <v>1167.9728951451166</v>
      </c>
      <c r="G53" s="50">
        <f t="shared" si="18"/>
        <v>13162.901518735884</v>
      </c>
      <c r="H53" s="50">
        <f t="shared" si="18"/>
        <v>55170.143261068675</v>
      </c>
      <c r="I53" s="50">
        <f t="shared" si="18"/>
        <v>5058.4957091918204</v>
      </c>
      <c r="J53" s="50">
        <f t="shared" si="18"/>
        <v>55397.617458114408</v>
      </c>
      <c r="K53" s="50">
        <f t="shared" si="18"/>
        <v>353.9620913671227</v>
      </c>
      <c r="L53" s="50">
        <f t="shared" si="18"/>
        <v>2581.7811332858432</v>
      </c>
      <c r="M53" s="50">
        <f t="shared" si="18"/>
        <v>0</v>
      </c>
      <c r="N53" s="50">
        <f t="shared" si="18"/>
        <v>3215.240668556688</v>
      </c>
      <c r="O53" s="50">
        <f t="shared" si="16"/>
        <v>15699.909283240771</v>
      </c>
      <c r="P53" s="56"/>
      <c r="Q53" s="39">
        <f>G53+N53</f>
        <v>16378.142187292571</v>
      </c>
      <c r="R53" s="5">
        <f>SUM(K53:L53)</f>
        <v>2935.7432246529661</v>
      </c>
      <c r="T53" s="5">
        <f t="shared" ref="T53:T55" si="19">SUM(C53:O53)</f>
        <v>365300.20842360321</v>
      </c>
      <c r="W53" s="18">
        <f>SUM(G53:L53)</f>
        <v>131724.90117176378</v>
      </c>
      <c r="X53" s="23">
        <f>W53/Inputs_Summary!J73</f>
        <v>0.38344734976992784</v>
      </c>
      <c r="Y53" s="39">
        <v>336771.13709999999</v>
      </c>
      <c r="AA53" s="39"/>
    </row>
    <row r="54" spans="1:37" ht="15" x14ac:dyDescent="0.25">
      <c r="A54" s="39">
        <f t="shared" si="17"/>
        <v>83934.041445691226</v>
      </c>
      <c r="B54" s="3">
        <v>2040</v>
      </c>
      <c r="C54" s="50">
        <f t="shared" si="18"/>
        <v>83934.041445691226</v>
      </c>
      <c r="D54" s="50">
        <f t="shared" si="18"/>
        <v>14089.27632734814</v>
      </c>
      <c r="E54" s="50">
        <f t="shared" si="18"/>
        <v>9064.4225017334593</v>
      </c>
      <c r="F54" s="50">
        <f t="shared" si="18"/>
        <v>5884.592957081034</v>
      </c>
      <c r="G54" s="50">
        <f t="shared" si="18"/>
        <v>12190.016166597117</v>
      </c>
      <c r="H54" s="50">
        <f t="shared" si="18"/>
        <v>134700.83366426404</v>
      </c>
      <c r="I54" s="50">
        <f t="shared" si="18"/>
        <v>5081.0984416919182</v>
      </c>
      <c r="J54" s="50">
        <f t="shared" si="18"/>
        <v>167215.24359762881</v>
      </c>
      <c r="K54" s="50">
        <f t="shared" si="18"/>
        <v>354.54195491544721</v>
      </c>
      <c r="L54" s="50">
        <f t="shared" si="18"/>
        <v>2604.3265980049705</v>
      </c>
      <c r="M54" s="50">
        <f t="shared" si="18"/>
        <v>0</v>
      </c>
      <c r="N54" s="50">
        <f t="shared" si="18"/>
        <v>6363.6765618817954</v>
      </c>
      <c r="O54" s="50">
        <f t="shared" si="16"/>
        <v>39080.445825627547</v>
      </c>
      <c r="P54" s="56"/>
      <c r="Q54" s="39">
        <f>G54+N54</f>
        <v>18553.692728478913</v>
      </c>
      <c r="R54" s="5">
        <f>SUM(K54:L54)</f>
        <v>2958.8685529204176</v>
      </c>
      <c r="T54" s="5">
        <f t="shared" si="19"/>
        <v>480562.51604246546</v>
      </c>
      <c r="W54" s="18">
        <f>SUM(G54:L54)</f>
        <v>322146.06042310229</v>
      </c>
      <c r="X54" s="23">
        <f>W54/Inputs_Summary!J74</f>
        <v>0.75192052027771639</v>
      </c>
      <c r="Y54" s="39">
        <v>426567.69079999998</v>
      </c>
      <c r="AB54" s="39"/>
      <c r="AD54" s="39"/>
    </row>
    <row r="55" spans="1:37" ht="15" x14ac:dyDescent="0.25">
      <c r="A55" s="39">
        <f t="shared" si="17"/>
        <v>46866.911638896003</v>
      </c>
      <c r="B55" s="3">
        <v>2050</v>
      </c>
      <c r="C55" s="50">
        <f t="shared" si="18"/>
        <v>46866.911638896003</v>
      </c>
      <c r="D55" s="50">
        <f t="shared" si="18"/>
        <v>0</v>
      </c>
      <c r="E55" s="50">
        <f t="shared" si="18"/>
        <v>24338.265679745487</v>
      </c>
      <c r="F55" s="50">
        <f t="shared" si="18"/>
        <v>9213.9973737605433</v>
      </c>
      <c r="G55" s="50">
        <f t="shared" si="18"/>
        <v>11372.716961714385</v>
      </c>
      <c r="H55" s="50">
        <f t="shared" si="18"/>
        <v>223262.08747437166</v>
      </c>
      <c r="I55" s="50">
        <f t="shared" si="18"/>
        <v>0</v>
      </c>
      <c r="J55" s="50">
        <f t="shared" si="18"/>
        <v>213463.88215931668</v>
      </c>
      <c r="K55" s="50">
        <f t="shared" si="18"/>
        <v>0</v>
      </c>
      <c r="L55" s="50">
        <f t="shared" si="18"/>
        <v>1594.8673240564203</v>
      </c>
      <c r="M55" s="50">
        <f t="shared" si="18"/>
        <v>0</v>
      </c>
      <c r="N55" s="50">
        <f t="shared" si="18"/>
        <v>6903.6279891989143</v>
      </c>
      <c r="O55" s="50">
        <f t="shared" si="16"/>
        <v>52635.936510341038</v>
      </c>
      <c r="P55" s="56"/>
      <c r="Q55" s="39">
        <f>G55+N55</f>
        <v>18276.344950913299</v>
      </c>
      <c r="R55" s="5">
        <f>SUM(K55:L55)</f>
        <v>1594.8673240564203</v>
      </c>
      <c r="T55" s="5">
        <f t="shared" si="19"/>
        <v>589652.29311140114</v>
      </c>
      <c r="W55" s="18">
        <f>SUM(G55:L55)</f>
        <v>449693.55391945911</v>
      </c>
      <c r="X55" s="23">
        <f>W55/Inputs_Summary!J75</f>
        <v>0.86221032312635604</v>
      </c>
      <c r="Y55" s="39">
        <v>512445.73180000001</v>
      </c>
    </row>
    <row r="57" spans="1:37" ht="15" x14ac:dyDescent="0.25">
      <c r="B57" s="3">
        <v>2016</v>
      </c>
      <c r="C57" s="23">
        <f t="shared" ref="C57:O60" si="20">IFERROR(C52/$T52,0)</f>
        <v>0.81102986535777721</v>
      </c>
      <c r="D57" s="23">
        <f t="shared" si="20"/>
        <v>6.1381856500855973E-2</v>
      </c>
      <c r="E57" s="23">
        <f t="shared" si="20"/>
        <v>3.1477059348297984E-3</v>
      </c>
      <c r="F57" s="23">
        <f t="shared" si="20"/>
        <v>8.4276419114014609E-3</v>
      </c>
      <c r="G57" s="23">
        <f t="shared" si="20"/>
        <v>6.5775064280442941E-2</v>
      </c>
      <c r="H57" s="23">
        <f t="shared" si="20"/>
        <v>1.6745329058228366E-2</v>
      </c>
      <c r="I57" s="23">
        <f t="shared" si="20"/>
        <v>3.445763298966707E-3</v>
      </c>
      <c r="J57" s="23">
        <f t="shared" si="20"/>
        <v>1.0987068888691099E-2</v>
      </c>
      <c r="K57" s="23">
        <f t="shared" si="20"/>
        <v>0</v>
      </c>
      <c r="L57" s="23">
        <f t="shared" si="20"/>
        <v>6.5934194781793283E-3</v>
      </c>
      <c r="M57" s="23">
        <f t="shared" si="20"/>
        <v>0</v>
      </c>
      <c r="N57" s="23">
        <f t="shared" si="20"/>
        <v>1.2466285290627077E-2</v>
      </c>
      <c r="O57" s="23">
        <f t="shared" si="20"/>
        <v>0</v>
      </c>
      <c r="P57" s="26"/>
      <c r="Q57" s="7">
        <f t="shared" ref="Q57:R60" si="21">Q52/$T52</f>
        <v>7.8241349571070026E-2</v>
      </c>
      <c r="R57" s="7">
        <f t="shared" si="21"/>
        <v>6.5934194781793283E-3</v>
      </c>
      <c r="T57" s="8">
        <f>SUM(C57:O57)</f>
        <v>0.99999999999999989</v>
      </c>
    </row>
    <row r="58" spans="1:37" ht="15" x14ac:dyDescent="0.25">
      <c r="B58" s="3">
        <v>2030</v>
      </c>
      <c r="C58" s="23">
        <f t="shared" si="20"/>
        <v>0.53825989488147241</v>
      </c>
      <c r="D58" s="23">
        <f t="shared" si="20"/>
        <v>4.0031821357346682E-2</v>
      </c>
      <c r="E58" s="23">
        <f t="shared" si="20"/>
        <v>6.1376913604525669E-3</v>
      </c>
      <c r="F58" s="23">
        <f t="shared" si="20"/>
        <v>3.1972959998717871E-3</v>
      </c>
      <c r="G58" s="23">
        <f t="shared" si="20"/>
        <v>3.6033107058817071E-2</v>
      </c>
      <c r="H58" s="23">
        <f t="shared" si="20"/>
        <v>0.15102685952232803</v>
      </c>
      <c r="I58" s="23">
        <f t="shared" si="20"/>
        <v>1.3847502937435977E-2</v>
      </c>
      <c r="J58" s="23">
        <f t="shared" si="20"/>
        <v>0.15164956433278343</v>
      </c>
      <c r="K58" s="23">
        <f t="shared" si="20"/>
        <v>9.689621938476071E-4</v>
      </c>
      <c r="L58" s="23">
        <f t="shared" si="20"/>
        <v>7.0675599787558899E-3</v>
      </c>
      <c r="M58" s="23">
        <f t="shared" si="20"/>
        <v>0</v>
      </c>
      <c r="N58" s="23">
        <f t="shared" si="20"/>
        <v>8.8016392939701954E-3</v>
      </c>
      <c r="O58" s="23">
        <f t="shared" si="20"/>
        <v>4.2978101082918378E-2</v>
      </c>
      <c r="P58" s="26"/>
      <c r="Q58" s="7">
        <f t="shared" si="21"/>
        <v>4.4834746352787266E-2</v>
      </c>
      <c r="R58" s="7">
        <f t="shared" si="21"/>
        <v>8.0365221726034983E-3</v>
      </c>
      <c r="T58" s="8">
        <f t="shared" ref="T58:T60" si="22">SUM(C58:O58)</f>
        <v>1.0000000000000002</v>
      </c>
    </row>
    <row r="59" spans="1:37" ht="15" x14ac:dyDescent="0.25">
      <c r="B59" s="3">
        <v>2040</v>
      </c>
      <c r="C59" s="23">
        <f t="shared" si="20"/>
        <v>0.1746579032774048</v>
      </c>
      <c r="D59" s="23">
        <f t="shared" si="20"/>
        <v>2.9318300651861754E-2</v>
      </c>
      <c r="E59" s="23">
        <f t="shared" si="20"/>
        <v>1.8862108881027399E-2</v>
      </c>
      <c r="F59" s="23">
        <f t="shared" si="20"/>
        <v>1.2245218386032078E-2</v>
      </c>
      <c r="G59" s="23">
        <f t="shared" si="20"/>
        <v>2.5366140220391083E-2</v>
      </c>
      <c r="H59" s="23">
        <f t="shared" si="20"/>
        <v>0.28029825291733956</v>
      </c>
      <c r="I59" s="23">
        <f t="shared" si="20"/>
        <v>1.0573230895193084E-2</v>
      </c>
      <c r="J59" s="23">
        <f t="shared" si="20"/>
        <v>0.34795731671850294</v>
      </c>
      <c r="K59" s="23">
        <f t="shared" si="20"/>
        <v>7.3776448033270592E-4</v>
      </c>
      <c r="L59" s="23">
        <f t="shared" si="20"/>
        <v>5.4193294546818881E-3</v>
      </c>
      <c r="M59" s="23">
        <f t="shared" si="20"/>
        <v>0</v>
      </c>
      <c r="N59" s="23">
        <f t="shared" si="20"/>
        <v>1.3242140927444832E-2</v>
      </c>
      <c r="O59" s="23">
        <f t="shared" si="20"/>
        <v>8.1322293189787939E-2</v>
      </c>
      <c r="P59" s="26"/>
      <c r="Q59" s="7">
        <f t="shared" si="21"/>
        <v>3.8608281147835911E-2</v>
      </c>
      <c r="R59" s="7">
        <f t="shared" si="21"/>
        <v>6.1570939350145942E-3</v>
      </c>
      <c r="T59" s="8">
        <f t="shared" si="22"/>
        <v>1.0000000000000002</v>
      </c>
    </row>
    <row r="60" spans="1:37" ht="15" x14ac:dyDescent="0.25">
      <c r="B60" s="3">
        <v>2050</v>
      </c>
      <c r="C60" s="23">
        <f t="shared" si="20"/>
        <v>7.9482285045640588E-2</v>
      </c>
      <c r="D60" s="23">
        <f t="shared" si="20"/>
        <v>0</v>
      </c>
      <c r="E60" s="23">
        <f t="shared" si="20"/>
        <v>4.1275622878222805E-2</v>
      </c>
      <c r="F60" s="23">
        <f t="shared" si="20"/>
        <v>1.562615372042617E-2</v>
      </c>
      <c r="G60" s="23">
        <f t="shared" si="20"/>
        <v>1.928715803292191E-2</v>
      </c>
      <c r="H60" s="23">
        <f t="shared" si="20"/>
        <v>0.37863345921422792</v>
      </c>
      <c r="I60" s="23">
        <f t="shared" si="20"/>
        <v>0</v>
      </c>
      <c r="J60" s="23">
        <f t="shared" si="20"/>
        <v>0.36201653865015604</v>
      </c>
      <c r="K60" s="23">
        <f t="shared" si="20"/>
        <v>0</v>
      </c>
      <c r="L60" s="23">
        <f t="shared" si="20"/>
        <v>2.7047589616599815E-3</v>
      </c>
      <c r="M60" s="23">
        <f t="shared" si="20"/>
        <v>0</v>
      </c>
      <c r="N60" s="23">
        <f t="shared" si="20"/>
        <v>1.1707964286496269E-2</v>
      </c>
      <c r="O60" s="23">
        <f t="shared" si="20"/>
        <v>8.9266059210248327E-2</v>
      </c>
      <c r="P60" s="26"/>
      <c r="Q60" s="7">
        <f t="shared" si="21"/>
        <v>3.0995122319418176E-2</v>
      </c>
      <c r="R60" s="7">
        <f t="shared" si="21"/>
        <v>2.7047589616599815E-3</v>
      </c>
      <c r="T60" s="8">
        <f t="shared" si="22"/>
        <v>1</v>
      </c>
    </row>
    <row r="62" spans="1:37" s="9" customFormat="1" ht="21" x14ac:dyDescent="0.35">
      <c r="B62" s="10" t="s">
        <v>12</v>
      </c>
    </row>
    <row r="63" spans="1:37" s="32" customFormat="1" ht="21" x14ac:dyDescent="0.35">
      <c r="B63" s="31"/>
      <c r="P63" s="58"/>
    </row>
    <row r="64" spans="1:37" ht="30" x14ac:dyDescent="0.25">
      <c r="B64" s="43" t="s">
        <v>37</v>
      </c>
      <c r="C64" s="43" t="s">
        <v>0</v>
      </c>
      <c r="D64" s="43" t="s">
        <v>1</v>
      </c>
      <c r="E64" s="43" t="s">
        <v>28</v>
      </c>
      <c r="F64" s="2" t="s">
        <v>29</v>
      </c>
      <c r="G64" s="2" t="s">
        <v>6</v>
      </c>
      <c r="H64" s="43" t="s">
        <v>2</v>
      </c>
      <c r="I64" s="43" t="s">
        <v>3</v>
      </c>
      <c r="J64" s="43" t="s">
        <v>4</v>
      </c>
      <c r="K64" s="43" t="s">
        <v>9</v>
      </c>
      <c r="L64" s="43" t="s">
        <v>8</v>
      </c>
      <c r="M64" s="43" t="s">
        <v>25</v>
      </c>
      <c r="N64" s="43" t="s">
        <v>7</v>
      </c>
      <c r="O64" s="43" t="s">
        <v>89</v>
      </c>
      <c r="P64" s="25"/>
      <c r="Q64" s="43" t="s">
        <v>5</v>
      </c>
      <c r="R64" s="43" t="s">
        <v>91</v>
      </c>
      <c r="T64" s="43"/>
    </row>
    <row r="65" spans="2:20" ht="15" x14ac:dyDescent="0.25">
      <c r="B65" s="3">
        <v>2016</v>
      </c>
      <c r="C65" s="23">
        <f t="shared" ref="C65:O65" si="23">IFERROR(C34/(8.76*C4),0)</f>
        <v>0.61670682155154666</v>
      </c>
      <c r="D65" s="23">
        <f t="shared" si="23"/>
        <v>0.90488773776270071</v>
      </c>
      <c r="E65" s="23">
        <f t="shared" si="23"/>
        <v>0.20327398012747969</v>
      </c>
      <c r="F65" s="23">
        <f t="shared" si="23"/>
        <v>6.7588779038524713E-2</v>
      </c>
      <c r="G65" s="23">
        <f t="shared" si="23"/>
        <v>0.82769756710584552</v>
      </c>
      <c r="H65" s="23">
        <f t="shared" si="23"/>
        <v>0.35157512265710944</v>
      </c>
      <c r="I65" s="23">
        <f t="shared" si="23"/>
        <v>0.47241434111308539</v>
      </c>
      <c r="J65" s="23">
        <f t="shared" si="23"/>
        <v>0.20369543738680201</v>
      </c>
      <c r="K65" s="23">
        <f t="shared" si="23"/>
        <v>0</v>
      </c>
      <c r="L65" s="23">
        <f t="shared" si="23"/>
        <v>0.68481680259532229</v>
      </c>
      <c r="M65" s="23">
        <f t="shared" si="23"/>
        <v>0</v>
      </c>
      <c r="N65" s="23">
        <f t="shared" si="23"/>
        <v>0.21634536847565858</v>
      </c>
      <c r="O65" s="23">
        <f t="shared" si="23"/>
        <v>0</v>
      </c>
      <c r="P65" s="26"/>
      <c r="Q65" s="6">
        <f t="shared" ref="Q65:R68" si="24">IFERROR(Q34/(8.76*Q4),0)</f>
        <v>0.57073122663346065</v>
      </c>
      <c r="R65" s="6">
        <f t="shared" si="24"/>
        <v>0.68481680259532229</v>
      </c>
      <c r="S65" s="5"/>
      <c r="T65" s="5"/>
    </row>
    <row r="66" spans="2:20" ht="15" x14ac:dyDescent="0.25">
      <c r="B66" s="3">
        <v>2030</v>
      </c>
      <c r="C66" s="23">
        <f t="shared" ref="C66:O66" si="25">IFERROR(C35/(8.76*C5),0)</f>
        <v>0.61075931459000798</v>
      </c>
      <c r="D66" s="23">
        <f t="shared" si="25"/>
        <v>0.89750777516418667</v>
      </c>
      <c r="E66" s="23">
        <f t="shared" si="25"/>
        <v>0.60279670504097094</v>
      </c>
      <c r="F66" s="23">
        <f t="shared" si="25"/>
        <v>1.9413911268743336E-2</v>
      </c>
      <c r="G66" s="23">
        <f t="shared" si="25"/>
        <v>0.67932848502363263</v>
      </c>
      <c r="H66" s="23">
        <f t="shared" si="25"/>
        <v>0.36601017259962998</v>
      </c>
      <c r="I66" s="23">
        <f t="shared" si="25"/>
        <v>0.47917374165242521</v>
      </c>
      <c r="J66" s="23">
        <f t="shared" si="25"/>
        <v>0.20250043558873032</v>
      </c>
      <c r="K66" s="23">
        <f t="shared" si="25"/>
        <v>0</v>
      </c>
      <c r="L66" s="23">
        <f t="shared" si="25"/>
        <v>0.6730909917169271</v>
      </c>
      <c r="M66" s="23">
        <f t="shared" si="25"/>
        <v>0</v>
      </c>
      <c r="N66" s="23">
        <f t="shared" si="25"/>
        <v>8.1438236849736209E-2</v>
      </c>
      <c r="O66" s="23">
        <f t="shared" si="25"/>
        <v>0</v>
      </c>
      <c r="P66" s="26"/>
      <c r="Q66" s="6">
        <f t="shared" si="24"/>
        <v>0.42802053287818009</v>
      </c>
      <c r="R66" s="6">
        <f t="shared" si="24"/>
        <v>0.6730909917169271</v>
      </c>
      <c r="S66" s="5"/>
      <c r="T66" s="5"/>
    </row>
    <row r="67" spans="2:20" ht="15" x14ac:dyDescent="0.25">
      <c r="B67" s="3">
        <v>2040</v>
      </c>
      <c r="C67" s="23">
        <f t="shared" ref="C67:O67" si="26">IFERROR(C36/(8.76*C6),0)</f>
        <v>0.41691510022951062</v>
      </c>
      <c r="D67" s="23">
        <f t="shared" si="26"/>
        <v>0.8647122997586868</v>
      </c>
      <c r="E67" s="23">
        <f t="shared" si="26"/>
        <v>0.61080338364733389</v>
      </c>
      <c r="F67" s="23">
        <f t="shared" si="26"/>
        <v>1.4830852444482073E-2</v>
      </c>
      <c r="G67" s="23">
        <f t="shared" si="26"/>
        <v>0.62788662770891579</v>
      </c>
      <c r="H67" s="23">
        <f t="shared" si="26"/>
        <v>0</v>
      </c>
      <c r="I67" s="23">
        <f t="shared" si="26"/>
        <v>0.48326617899045687</v>
      </c>
      <c r="J67" s="23">
        <f t="shared" si="26"/>
        <v>0.2037412941517695</v>
      </c>
      <c r="K67" s="23">
        <f t="shared" si="26"/>
        <v>0</v>
      </c>
      <c r="L67" s="23">
        <f t="shared" si="26"/>
        <v>0.68140896045510879</v>
      </c>
      <c r="M67" s="23">
        <f t="shared" si="26"/>
        <v>0</v>
      </c>
      <c r="N67" s="23">
        <f t="shared" si="26"/>
        <v>0.19970096619693639</v>
      </c>
      <c r="O67" s="23">
        <f t="shared" si="26"/>
        <v>0</v>
      </c>
      <c r="P67" s="26"/>
      <c r="Q67" s="6">
        <f t="shared" si="24"/>
        <v>0.44790968033223921</v>
      </c>
      <c r="R67" s="6">
        <f t="shared" si="24"/>
        <v>0.68140896045510879</v>
      </c>
      <c r="S67" s="5"/>
      <c r="T67" s="5"/>
    </row>
    <row r="68" spans="2:20" ht="15" x14ac:dyDescent="0.25">
      <c r="B68" s="3">
        <v>2050</v>
      </c>
      <c r="C68" s="23">
        <f t="shared" ref="C68:O68" si="27">IFERROR(C37/(8.76*C7),0)</f>
        <v>0</v>
      </c>
      <c r="D68" s="23">
        <f t="shared" si="27"/>
        <v>0</v>
      </c>
      <c r="E68" s="23">
        <f t="shared" si="27"/>
        <v>0.60172311781010468</v>
      </c>
      <c r="F68" s="23">
        <f t="shared" si="27"/>
        <v>0</v>
      </c>
      <c r="G68" s="23">
        <f t="shared" si="27"/>
        <v>0.58497922448478967</v>
      </c>
      <c r="H68" s="23">
        <f t="shared" si="27"/>
        <v>0</v>
      </c>
      <c r="I68" s="23">
        <f t="shared" si="27"/>
        <v>0</v>
      </c>
      <c r="J68" s="23">
        <f t="shared" si="27"/>
        <v>0</v>
      </c>
      <c r="K68" s="23">
        <f t="shared" si="27"/>
        <v>0</v>
      </c>
      <c r="L68" s="23">
        <f t="shared" si="27"/>
        <v>0.68963060573907764</v>
      </c>
      <c r="M68" s="23">
        <f t="shared" si="27"/>
        <v>0</v>
      </c>
      <c r="N68" s="23">
        <f t="shared" si="27"/>
        <v>0.22354654097645024</v>
      </c>
      <c r="O68" s="23">
        <f t="shared" si="27"/>
        <v>0</v>
      </c>
      <c r="P68" s="26"/>
      <c r="Q68" s="6">
        <f t="shared" si="24"/>
        <v>0.43306019284255076</v>
      </c>
      <c r="R68" s="6">
        <f t="shared" si="24"/>
        <v>0.68963060573907764</v>
      </c>
      <c r="S68" s="5"/>
      <c r="T68" s="5"/>
    </row>
    <row r="69" spans="2:20" ht="15" x14ac:dyDescent="0.25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28"/>
      <c r="Q69" s="5"/>
      <c r="R69" s="5"/>
      <c r="S69" s="5"/>
      <c r="T69" s="5"/>
    </row>
    <row r="70" spans="2:20" ht="30" x14ac:dyDescent="0.25">
      <c r="B70" s="43" t="s">
        <v>38</v>
      </c>
      <c r="C70" s="43" t="s">
        <v>0</v>
      </c>
      <c r="D70" s="43" t="s">
        <v>1</v>
      </c>
      <c r="E70" s="43" t="s">
        <v>28</v>
      </c>
      <c r="F70" s="2" t="s">
        <v>29</v>
      </c>
      <c r="G70" s="2" t="s">
        <v>6</v>
      </c>
      <c r="H70" s="43" t="s">
        <v>2</v>
      </c>
      <c r="I70" s="43" t="s">
        <v>3</v>
      </c>
      <c r="J70" s="43" t="s">
        <v>4</v>
      </c>
      <c r="K70" s="43" t="s">
        <v>9</v>
      </c>
      <c r="L70" s="43" t="s">
        <v>8</v>
      </c>
      <c r="M70" s="43" t="s">
        <v>25</v>
      </c>
      <c r="N70" s="43" t="s">
        <v>7</v>
      </c>
      <c r="O70" s="43" t="s">
        <v>89</v>
      </c>
      <c r="P70" s="25"/>
      <c r="Q70" s="43" t="s">
        <v>5</v>
      </c>
      <c r="R70" s="43" t="s">
        <v>91</v>
      </c>
      <c r="T70" s="43"/>
    </row>
    <row r="71" spans="2:20" ht="15" x14ac:dyDescent="0.25">
      <c r="B71" s="3">
        <v>2016</v>
      </c>
      <c r="C71" s="23">
        <f t="shared" ref="C71:O71" si="28">IFERROR(C40/(8.76*C10),0)</f>
        <v>0</v>
      </c>
      <c r="D71" s="23">
        <f t="shared" si="28"/>
        <v>0</v>
      </c>
      <c r="E71" s="23">
        <f t="shared" si="28"/>
        <v>0</v>
      </c>
      <c r="F71" s="23">
        <f t="shared" si="28"/>
        <v>0</v>
      </c>
      <c r="G71" s="23">
        <f t="shared" si="28"/>
        <v>0</v>
      </c>
      <c r="H71" s="23">
        <f t="shared" si="28"/>
        <v>0</v>
      </c>
      <c r="I71" s="23">
        <f t="shared" si="28"/>
        <v>0</v>
      </c>
      <c r="J71" s="23">
        <f t="shared" si="28"/>
        <v>0</v>
      </c>
      <c r="K71" s="23">
        <f t="shared" si="28"/>
        <v>0</v>
      </c>
      <c r="L71" s="23">
        <f t="shared" si="28"/>
        <v>0</v>
      </c>
      <c r="M71" s="23">
        <f t="shared" si="28"/>
        <v>0</v>
      </c>
      <c r="N71" s="23">
        <f t="shared" si="28"/>
        <v>0</v>
      </c>
      <c r="O71" s="23">
        <f t="shared" si="28"/>
        <v>0</v>
      </c>
      <c r="P71" s="26"/>
      <c r="Q71" s="7">
        <f t="shared" ref="Q71:R74" si="29">IFERROR(Q40/(8.76*Q10),0)</f>
        <v>0</v>
      </c>
      <c r="R71" s="7">
        <f t="shared" si="29"/>
        <v>0</v>
      </c>
      <c r="S71" s="5"/>
      <c r="T71" s="5"/>
    </row>
    <row r="72" spans="2:20" ht="15" x14ac:dyDescent="0.25">
      <c r="B72" s="3">
        <v>2030</v>
      </c>
      <c r="C72" s="23">
        <f t="shared" ref="C72:O72" si="30">IFERROR(C41/(8.76*C11),0)</f>
        <v>0.87558903145936207</v>
      </c>
      <c r="D72" s="23">
        <f t="shared" si="30"/>
        <v>0</v>
      </c>
      <c r="E72" s="23">
        <f t="shared" si="30"/>
        <v>0</v>
      </c>
      <c r="F72" s="23">
        <f t="shared" si="30"/>
        <v>0</v>
      </c>
      <c r="G72" s="23">
        <f t="shared" si="30"/>
        <v>0.4968346612516033</v>
      </c>
      <c r="H72" s="23">
        <f t="shared" si="30"/>
        <v>0.36605513574246196</v>
      </c>
      <c r="I72" s="23">
        <f t="shared" si="30"/>
        <v>0.56661070558914473</v>
      </c>
      <c r="J72" s="23">
        <f t="shared" si="30"/>
        <v>0.20255593857685192</v>
      </c>
      <c r="K72" s="23">
        <f t="shared" si="30"/>
        <v>0.76238927235100096</v>
      </c>
      <c r="L72" s="23">
        <f t="shared" si="30"/>
        <v>0.76488792058495925</v>
      </c>
      <c r="M72" s="23">
        <f t="shared" si="30"/>
        <v>0</v>
      </c>
      <c r="N72" s="23">
        <f t="shared" si="30"/>
        <v>0.13768908211417427</v>
      </c>
      <c r="O72" s="23">
        <f t="shared" si="30"/>
        <v>0</v>
      </c>
      <c r="P72" s="26"/>
      <c r="Q72" s="7">
        <f t="shared" si="29"/>
        <v>0.14942586574611638</v>
      </c>
      <c r="R72" s="7">
        <f t="shared" si="29"/>
        <v>0.7642450644859311</v>
      </c>
      <c r="S72" s="5"/>
      <c r="T72" s="5"/>
    </row>
    <row r="73" spans="2:20" ht="15" x14ac:dyDescent="0.25">
      <c r="B73" s="3">
        <v>2040</v>
      </c>
      <c r="C73" s="23">
        <f t="shared" ref="C73:O73" si="31">IFERROR(C42/(8.76*C12),0)</f>
        <v>0.66987645897654247</v>
      </c>
      <c r="D73" s="23">
        <f t="shared" si="31"/>
        <v>0</v>
      </c>
      <c r="E73" s="23">
        <f t="shared" si="31"/>
        <v>0</v>
      </c>
      <c r="F73" s="23">
        <f t="shared" si="31"/>
        <v>0</v>
      </c>
      <c r="G73" s="23">
        <f t="shared" si="31"/>
        <v>0.5197643364389255</v>
      </c>
      <c r="H73" s="23">
        <f t="shared" si="31"/>
        <v>0</v>
      </c>
      <c r="I73" s="23">
        <f t="shared" si="31"/>
        <v>0.56868333280964789</v>
      </c>
      <c r="J73" s="23">
        <f t="shared" si="31"/>
        <v>0.20374307504486894</v>
      </c>
      <c r="K73" s="23">
        <f t="shared" si="31"/>
        <v>0.76363822459603525</v>
      </c>
      <c r="L73" s="23">
        <f t="shared" si="31"/>
        <v>0.76735680581525334</v>
      </c>
      <c r="M73" s="23">
        <f t="shared" si="31"/>
        <v>0</v>
      </c>
      <c r="N73" s="23">
        <f t="shared" si="31"/>
        <v>0.2392926694654566</v>
      </c>
      <c r="O73" s="23">
        <f t="shared" si="31"/>
        <v>0</v>
      </c>
      <c r="P73" s="26"/>
      <c r="Q73" s="7">
        <f t="shared" si="29"/>
        <v>0.24845841021622353</v>
      </c>
      <c r="R73" s="7">
        <f t="shared" si="29"/>
        <v>0.76640008346273603</v>
      </c>
      <c r="S73" s="5"/>
      <c r="T73" s="5"/>
    </row>
    <row r="74" spans="2:20" ht="15" x14ac:dyDescent="0.25">
      <c r="B74" s="3">
        <v>2050</v>
      </c>
      <c r="C74" s="23">
        <f t="shared" ref="C74:O74" si="32">IFERROR(C43/(8.76*C13),0)</f>
        <v>0.56104279240427046</v>
      </c>
      <c r="D74" s="23">
        <f t="shared" si="32"/>
        <v>0</v>
      </c>
      <c r="E74" s="23">
        <f t="shared" si="32"/>
        <v>0</v>
      </c>
      <c r="F74" s="23">
        <f t="shared" si="32"/>
        <v>0</v>
      </c>
      <c r="G74" s="23">
        <f t="shared" si="32"/>
        <v>0.52412512830984392</v>
      </c>
      <c r="H74" s="23">
        <f t="shared" si="32"/>
        <v>0</v>
      </c>
      <c r="I74" s="23">
        <f t="shared" si="32"/>
        <v>0</v>
      </c>
      <c r="J74" s="23">
        <f t="shared" si="32"/>
        <v>0</v>
      </c>
      <c r="K74" s="23">
        <f t="shared" si="32"/>
        <v>0</v>
      </c>
      <c r="L74" s="23">
        <f t="shared" si="32"/>
        <v>0</v>
      </c>
      <c r="M74" s="23">
        <f t="shared" si="32"/>
        <v>0</v>
      </c>
      <c r="N74" s="23">
        <f t="shared" si="32"/>
        <v>0.25278169049426302</v>
      </c>
      <c r="O74" s="23">
        <f t="shared" si="32"/>
        <v>0</v>
      </c>
      <c r="P74" s="26"/>
      <c r="Q74" s="7">
        <f t="shared" si="29"/>
        <v>0.26164912310261534</v>
      </c>
      <c r="R74" s="7">
        <f t="shared" si="29"/>
        <v>0</v>
      </c>
      <c r="S74" s="5"/>
      <c r="T74" s="5"/>
    </row>
    <row r="75" spans="2:20" ht="15" x14ac:dyDescent="0.25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28"/>
      <c r="Q75" s="5"/>
      <c r="R75" s="5"/>
      <c r="S75" s="5"/>
      <c r="T75" s="5"/>
    </row>
    <row r="76" spans="2:20" ht="30" x14ac:dyDescent="0.25">
      <c r="B76" s="43" t="s">
        <v>43</v>
      </c>
      <c r="C76" s="43" t="s">
        <v>0</v>
      </c>
      <c r="D76" s="43" t="s">
        <v>1</v>
      </c>
      <c r="E76" s="43" t="s">
        <v>28</v>
      </c>
      <c r="F76" s="2" t="s">
        <v>29</v>
      </c>
      <c r="G76" s="2" t="s">
        <v>6</v>
      </c>
      <c r="H76" s="43" t="s">
        <v>2</v>
      </c>
      <c r="I76" s="43" t="s">
        <v>3</v>
      </c>
      <c r="J76" s="43" t="s">
        <v>4</v>
      </c>
      <c r="K76" s="43" t="s">
        <v>9</v>
      </c>
      <c r="L76" s="43" t="s">
        <v>8</v>
      </c>
      <c r="M76" s="43" t="s">
        <v>25</v>
      </c>
      <c r="N76" s="43" t="s">
        <v>7</v>
      </c>
      <c r="O76" s="43" t="s">
        <v>89</v>
      </c>
      <c r="P76" s="25"/>
      <c r="Q76" s="43" t="s">
        <v>5</v>
      </c>
      <c r="R76" s="43" t="s">
        <v>91</v>
      </c>
      <c r="T76" s="43"/>
    </row>
    <row r="77" spans="2:20" ht="15" x14ac:dyDescent="0.25">
      <c r="B77" s="3">
        <v>2016</v>
      </c>
      <c r="C77" s="23">
        <f t="shared" ref="C77:O77" si="33">IFERROR(C46/(8.76*C16),0)</f>
        <v>0</v>
      </c>
      <c r="D77" s="23">
        <f t="shared" si="33"/>
        <v>0</v>
      </c>
      <c r="E77" s="23">
        <f t="shared" si="33"/>
        <v>0</v>
      </c>
      <c r="F77" s="23">
        <f t="shared" si="33"/>
        <v>0</v>
      </c>
      <c r="G77" s="23">
        <f t="shared" si="33"/>
        <v>0</v>
      </c>
      <c r="H77" s="23">
        <f t="shared" si="33"/>
        <v>0</v>
      </c>
      <c r="I77" s="23">
        <f t="shared" si="33"/>
        <v>0</v>
      </c>
      <c r="J77" s="23">
        <f t="shared" si="33"/>
        <v>0</v>
      </c>
      <c r="K77" s="23">
        <f t="shared" si="33"/>
        <v>0</v>
      </c>
      <c r="L77" s="23">
        <f t="shared" si="33"/>
        <v>0</v>
      </c>
      <c r="M77" s="23">
        <f t="shared" si="33"/>
        <v>0</v>
      </c>
      <c r="N77" s="23">
        <f t="shared" si="33"/>
        <v>0</v>
      </c>
      <c r="O77" s="23">
        <f t="shared" si="33"/>
        <v>0</v>
      </c>
      <c r="P77" s="26"/>
      <c r="Q77" s="7">
        <f t="shared" ref="Q77:R80" si="34">IFERROR(Q46/(8.76*Q16),0)</f>
        <v>0</v>
      </c>
      <c r="R77" s="7">
        <f t="shared" si="34"/>
        <v>0</v>
      </c>
      <c r="S77" s="5"/>
      <c r="T77" s="5"/>
    </row>
    <row r="78" spans="2:20" ht="15" x14ac:dyDescent="0.25">
      <c r="B78" s="3">
        <v>2030</v>
      </c>
      <c r="C78" s="23">
        <f t="shared" ref="C78:O78" si="35">IFERROR(C47/(8.76*C17),0)</f>
        <v>0</v>
      </c>
      <c r="D78" s="23">
        <f t="shared" si="35"/>
        <v>0</v>
      </c>
      <c r="E78" s="23">
        <f t="shared" si="35"/>
        <v>0</v>
      </c>
      <c r="F78" s="23">
        <f t="shared" si="35"/>
        <v>6.9690941475278156E-2</v>
      </c>
      <c r="G78" s="23">
        <f t="shared" si="35"/>
        <v>0</v>
      </c>
      <c r="H78" s="23">
        <f t="shared" si="35"/>
        <v>0.36603037358692486</v>
      </c>
      <c r="I78" s="23">
        <f t="shared" si="35"/>
        <v>0</v>
      </c>
      <c r="J78" s="23">
        <f t="shared" si="35"/>
        <v>0.20262768588572555</v>
      </c>
      <c r="K78" s="23">
        <f t="shared" si="35"/>
        <v>0</v>
      </c>
      <c r="L78" s="23">
        <f t="shared" si="35"/>
        <v>0</v>
      </c>
      <c r="M78" s="23">
        <f t="shared" si="35"/>
        <v>0</v>
      </c>
      <c r="N78" s="23">
        <f t="shared" si="35"/>
        <v>0.16505205525813399</v>
      </c>
      <c r="O78" s="23">
        <f t="shared" si="35"/>
        <v>0.13222864741979801</v>
      </c>
      <c r="P78" s="26"/>
      <c r="Q78" s="7">
        <f t="shared" si="34"/>
        <v>0.16505205525813399</v>
      </c>
      <c r="R78" s="7">
        <f t="shared" si="34"/>
        <v>0</v>
      </c>
      <c r="S78" s="5"/>
      <c r="T78" s="5"/>
    </row>
    <row r="79" spans="2:20" ht="15" x14ac:dyDescent="0.25">
      <c r="B79" s="3">
        <v>2040</v>
      </c>
      <c r="C79" s="23">
        <f t="shared" ref="C79:O79" si="36">IFERROR(C48/(8.76*C18),0)</f>
        <v>0</v>
      </c>
      <c r="D79" s="23">
        <f t="shared" si="36"/>
        <v>0</v>
      </c>
      <c r="E79" s="23">
        <f t="shared" si="36"/>
        <v>0.26482387651703032</v>
      </c>
      <c r="F79" s="23">
        <f t="shared" si="36"/>
        <v>4.9761528801113043E-2</v>
      </c>
      <c r="G79" s="23">
        <f t="shared" si="36"/>
        <v>0</v>
      </c>
      <c r="H79" s="23">
        <f t="shared" si="36"/>
        <v>0.35187202507827348</v>
      </c>
      <c r="I79" s="23">
        <f t="shared" si="36"/>
        <v>0</v>
      </c>
      <c r="J79" s="23">
        <f t="shared" si="36"/>
        <v>0.19569994659004611</v>
      </c>
      <c r="K79" s="23">
        <f t="shared" si="36"/>
        <v>0</v>
      </c>
      <c r="L79" s="23">
        <f t="shared" si="36"/>
        <v>0</v>
      </c>
      <c r="M79" s="23">
        <f t="shared" si="36"/>
        <v>0</v>
      </c>
      <c r="N79" s="23">
        <f t="shared" si="36"/>
        <v>0.27682202338162171</v>
      </c>
      <c r="O79" s="23">
        <f t="shared" si="36"/>
        <v>0.12600231904051148</v>
      </c>
      <c r="P79" s="26"/>
      <c r="Q79" s="7">
        <f t="shared" si="34"/>
        <v>0.27682202338162171</v>
      </c>
      <c r="R79" s="7">
        <f t="shared" si="34"/>
        <v>0</v>
      </c>
      <c r="S79" s="5"/>
      <c r="T79" s="5"/>
    </row>
    <row r="80" spans="2:20" ht="15" x14ac:dyDescent="0.25">
      <c r="B80" s="3">
        <v>2050</v>
      </c>
      <c r="C80" s="23">
        <f t="shared" ref="C80:O80" si="37">IFERROR(C49/(8.76*C19),0)</f>
        <v>0</v>
      </c>
      <c r="D80" s="23">
        <f t="shared" si="37"/>
        <v>0</v>
      </c>
      <c r="E80" s="23">
        <f t="shared" si="37"/>
        <v>0.2872096078323092</v>
      </c>
      <c r="F80" s="23">
        <f t="shared" si="37"/>
        <v>4.2385000975952616E-2</v>
      </c>
      <c r="G80" s="23">
        <f t="shared" si="37"/>
        <v>0</v>
      </c>
      <c r="H80" s="23">
        <f t="shared" si="37"/>
        <v>0.34960959761350013</v>
      </c>
      <c r="I80" s="23">
        <f t="shared" si="37"/>
        <v>0</v>
      </c>
      <c r="J80" s="23">
        <f t="shared" si="37"/>
        <v>0.17455603923744675</v>
      </c>
      <c r="K80" s="23">
        <f t="shared" si="37"/>
        <v>0</v>
      </c>
      <c r="L80" s="23">
        <f t="shared" si="37"/>
        <v>0</v>
      </c>
      <c r="M80" s="23">
        <f t="shared" si="37"/>
        <v>0</v>
      </c>
      <c r="N80" s="23">
        <f t="shared" si="37"/>
        <v>0.29482474598709768</v>
      </c>
      <c r="O80" s="23">
        <f t="shared" si="37"/>
        <v>0.11964692456011139</v>
      </c>
      <c r="P80" s="26"/>
      <c r="Q80" s="7">
        <f t="shared" si="34"/>
        <v>0.29482474598709768</v>
      </c>
      <c r="R80" s="7">
        <f t="shared" si="34"/>
        <v>0</v>
      </c>
      <c r="S80" s="5"/>
      <c r="T80" s="5"/>
    </row>
    <row r="81" spans="1:58" ht="15" x14ac:dyDescent="0.25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28"/>
    </row>
    <row r="82" spans="1:58" ht="30" x14ac:dyDescent="0.25">
      <c r="B82" s="43" t="s">
        <v>52</v>
      </c>
      <c r="C82" s="43" t="s">
        <v>0</v>
      </c>
      <c r="D82" s="43" t="s">
        <v>1</v>
      </c>
      <c r="E82" s="43" t="s">
        <v>28</v>
      </c>
      <c r="F82" s="2" t="s">
        <v>29</v>
      </c>
      <c r="G82" s="2" t="s">
        <v>6</v>
      </c>
      <c r="H82" s="43" t="s">
        <v>2</v>
      </c>
      <c r="I82" s="43" t="s">
        <v>3</v>
      </c>
      <c r="J82" s="43" t="s">
        <v>4</v>
      </c>
      <c r="K82" s="43" t="s">
        <v>9</v>
      </c>
      <c r="L82" s="43" t="s">
        <v>8</v>
      </c>
      <c r="M82" s="43" t="s">
        <v>25</v>
      </c>
      <c r="N82" s="43" t="s">
        <v>7</v>
      </c>
      <c r="O82" s="43" t="s">
        <v>89</v>
      </c>
      <c r="P82" s="25"/>
      <c r="Q82" s="43" t="s">
        <v>5</v>
      </c>
      <c r="R82" s="43" t="s">
        <v>91</v>
      </c>
      <c r="T82" s="43"/>
    </row>
    <row r="83" spans="1:58" ht="15" x14ac:dyDescent="0.25">
      <c r="B83" s="3">
        <v>2016</v>
      </c>
      <c r="C83" s="23">
        <f t="shared" ref="C83:O83" si="38">IFERROR(C52/(8.76*C22),0)</f>
        <v>0.60460138070656211</v>
      </c>
      <c r="D83" s="23">
        <f t="shared" si="38"/>
        <v>0.90488773776270071</v>
      </c>
      <c r="E83" s="23">
        <f t="shared" si="38"/>
        <v>0.20327398012747969</v>
      </c>
      <c r="F83" s="23">
        <f t="shared" si="38"/>
        <v>6.7588779038524713E-2</v>
      </c>
      <c r="G83" s="23">
        <f t="shared" si="38"/>
        <v>0.82769756710584552</v>
      </c>
      <c r="H83" s="23">
        <f t="shared" si="38"/>
        <v>0.31449117136314036</v>
      </c>
      <c r="I83" s="23">
        <f t="shared" si="38"/>
        <v>0.47241434111308539</v>
      </c>
      <c r="J83" s="23">
        <f t="shared" si="38"/>
        <v>0.20369543738680201</v>
      </c>
      <c r="K83" s="23">
        <f t="shared" si="38"/>
        <v>0</v>
      </c>
      <c r="L83" s="23">
        <f t="shared" si="38"/>
        <v>0.68481680259532229</v>
      </c>
      <c r="M83" s="23">
        <f t="shared" si="38"/>
        <v>0</v>
      </c>
      <c r="N83" s="23">
        <f t="shared" si="38"/>
        <v>0.21634536847565858</v>
      </c>
      <c r="O83" s="23">
        <f t="shared" si="38"/>
        <v>0</v>
      </c>
      <c r="P83" s="26"/>
      <c r="Q83" s="7">
        <f t="shared" ref="Q83:R86" si="39">IFERROR(Q52/(8.76*Q22),0)</f>
        <v>0.57073122663346065</v>
      </c>
      <c r="R83" s="7">
        <f t="shared" si="39"/>
        <v>0.68481680259532229</v>
      </c>
      <c r="S83" s="5"/>
      <c r="T83" s="5"/>
    </row>
    <row r="84" spans="1:58" ht="15" x14ac:dyDescent="0.25">
      <c r="B84" s="3">
        <v>2030</v>
      </c>
      <c r="C84" s="23">
        <f t="shared" ref="C84:O84" si="40">IFERROR(C53/(8.76*C23),0)</f>
        <v>0.68818806673822241</v>
      </c>
      <c r="D84" s="23">
        <f t="shared" si="40"/>
        <v>0.89750777516418667</v>
      </c>
      <c r="E84" s="23">
        <f t="shared" si="40"/>
        <v>0.60279670504097094</v>
      </c>
      <c r="F84" s="23">
        <f t="shared" si="40"/>
        <v>3.2259917534918206E-2</v>
      </c>
      <c r="G84" s="23">
        <f t="shared" si="40"/>
        <v>0.67563593912896491</v>
      </c>
      <c r="H84" s="23">
        <f t="shared" si="40"/>
        <v>0.36603286989903089</v>
      </c>
      <c r="I84" s="23">
        <f t="shared" si="40"/>
        <v>0.54995604579167434</v>
      </c>
      <c r="J84" s="23">
        <f t="shared" si="40"/>
        <v>0.20261859387955222</v>
      </c>
      <c r="K84" s="23">
        <f t="shared" si="40"/>
        <v>0.76238927235100096</v>
      </c>
      <c r="L84" s="23">
        <f t="shared" si="40"/>
        <v>0.70677187928721219</v>
      </c>
      <c r="M84" s="23">
        <f t="shared" si="40"/>
        <v>0</v>
      </c>
      <c r="N84" s="23">
        <f t="shared" si="40"/>
        <v>0.11310835315858918</v>
      </c>
      <c r="O84" s="23">
        <f t="shared" si="40"/>
        <v>0.13222864741979801</v>
      </c>
      <c r="P84" s="26"/>
      <c r="Q84" s="7">
        <f t="shared" si="39"/>
        <v>0.34186340000410304</v>
      </c>
      <c r="R84" s="7">
        <f t="shared" si="39"/>
        <v>0.71304362786674591</v>
      </c>
      <c r="S84" s="5"/>
      <c r="T84" s="5"/>
    </row>
    <row r="85" spans="1:58" ht="15" x14ac:dyDescent="0.25">
      <c r="B85" s="3">
        <v>2040</v>
      </c>
      <c r="C85" s="23">
        <f t="shared" ref="C85:O85" si="41">IFERROR(C54/(8.76*C24),0)</f>
        <v>0.55719420682474763</v>
      </c>
      <c r="D85" s="23">
        <f t="shared" si="41"/>
        <v>0.8647122997586868</v>
      </c>
      <c r="E85" s="23">
        <f t="shared" si="41"/>
        <v>0.30864148038493194</v>
      </c>
      <c r="F85" s="23">
        <f t="shared" si="41"/>
        <v>4.7290192670284871E-2</v>
      </c>
      <c r="G85" s="23">
        <f t="shared" si="41"/>
        <v>0.62569890149167229</v>
      </c>
      <c r="H85" s="23">
        <f t="shared" si="41"/>
        <v>0.35187202507827348</v>
      </c>
      <c r="I85" s="23">
        <f t="shared" si="41"/>
        <v>0.55241339874884954</v>
      </c>
      <c r="J85" s="23">
        <f t="shared" si="41"/>
        <v>0.1958457542304903</v>
      </c>
      <c r="K85" s="23">
        <f t="shared" si="41"/>
        <v>0.76363822459603525</v>
      </c>
      <c r="L85" s="23">
        <f t="shared" si="41"/>
        <v>0.71294378141458625</v>
      </c>
      <c r="M85" s="23">
        <f t="shared" si="41"/>
        <v>0</v>
      </c>
      <c r="N85" s="23">
        <f t="shared" si="41"/>
        <v>0.22386659356093305</v>
      </c>
      <c r="O85" s="23">
        <f t="shared" si="41"/>
        <v>0.12600231904051148</v>
      </c>
      <c r="P85" s="26"/>
      <c r="Q85" s="7">
        <f t="shared" si="39"/>
        <v>0.38727399031316634</v>
      </c>
      <c r="R85" s="7">
        <f t="shared" si="39"/>
        <v>0.7186603888371752</v>
      </c>
      <c r="S85" s="5"/>
      <c r="T85" s="5"/>
    </row>
    <row r="86" spans="1:58" ht="15" x14ac:dyDescent="0.25">
      <c r="B86" s="3">
        <v>2050</v>
      </c>
      <c r="C86" s="23">
        <f t="shared" ref="C86:O86" si="42">IFERROR(C55/(8.76*C25),0)</f>
        <v>0.52421164691035893</v>
      </c>
      <c r="D86" s="23">
        <f t="shared" si="42"/>
        <v>0</v>
      </c>
      <c r="E86" s="23">
        <f t="shared" si="42"/>
        <v>0.30171153389453059</v>
      </c>
      <c r="F86" s="23">
        <f t="shared" si="42"/>
        <v>4.2385000975952616E-2</v>
      </c>
      <c r="G86" s="23">
        <f t="shared" si="42"/>
        <v>0.58374791408556648</v>
      </c>
      <c r="H86" s="23">
        <f t="shared" si="42"/>
        <v>0.34960959761350013</v>
      </c>
      <c r="I86" s="23">
        <f t="shared" si="42"/>
        <v>0</v>
      </c>
      <c r="J86" s="23">
        <f t="shared" si="42"/>
        <v>0.17455603923744675</v>
      </c>
      <c r="K86" s="23">
        <f t="shared" si="42"/>
        <v>0</v>
      </c>
      <c r="L86" s="23">
        <f t="shared" si="42"/>
        <v>0.68963060573907764</v>
      </c>
      <c r="M86" s="23">
        <f t="shared" si="42"/>
        <v>0</v>
      </c>
      <c r="N86" s="23">
        <f t="shared" si="42"/>
        <v>0.2428614443435603</v>
      </c>
      <c r="O86" s="23">
        <f t="shared" si="42"/>
        <v>0.11964692456011139</v>
      </c>
      <c r="P86" s="26"/>
      <c r="Q86" s="7">
        <f t="shared" si="39"/>
        <v>0.38148486886471983</v>
      </c>
      <c r="R86" s="7">
        <f t="shared" si="39"/>
        <v>0.68963060573907764</v>
      </c>
      <c r="S86" s="5"/>
      <c r="T86" s="5"/>
    </row>
    <row r="87" spans="1:58" s="11" customFormat="1" ht="15" x14ac:dyDescent="0.25">
      <c r="C87" s="12"/>
      <c r="D87" s="12"/>
      <c r="E87" s="14"/>
      <c r="F87" s="14"/>
      <c r="G87" s="14"/>
      <c r="H87" s="16"/>
      <c r="I87" s="14"/>
      <c r="J87" s="14"/>
      <c r="K87" s="16"/>
      <c r="L87" s="14"/>
      <c r="M87" s="16"/>
      <c r="N87" s="20"/>
      <c r="O87" s="20"/>
      <c r="P87" s="20"/>
    </row>
    <row r="88" spans="1:58" s="9" customFormat="1" ht="21" x14ac:dyDescent="0.35">
      <c r="B88" s="10" t="s">
        <v>57</v>
      </c>
    </row>
    <row r="89" spans="1:58" ht="30" x14ac:dyDescent="0.25">
      <c r="B89" s="43" t="s">
        <v>56</v>
      </c>
      <c r="C89" s="43" t="s">
        <v>0</v>
      </c>
      <c r="D89" s="43" t="s">
        <v>1</v>
      </c>
      <c r="E89" s="43" t="s">
        <v>28</v>
      </c>
      <c r="F89" s="2" t="s">
        <v>29</v>
      </c>
      <c r="G89" s="2" t="s">
        <v>6</v>
      </c>
      <c r="H89" s="43" t="s">
        <v>2</v>
      </c>
      <c r="I89" s="43" t="s">
        <v>3</v>
      </c>
      <c r="J89" s="43" t="s">
        <v>4</v>
      </c>
      <c r="K89" s="43" t="s">
        <v>9</v>
      </c>
      <c r="L89" s="43" t="s">
        <v>8</v>
      </c>
      <c r="M89" s="43" t="s">
        <v>25</v>
      </c>
      <c r="N89" s="43" t="s">
        <v>7</v>
      </c>
      <c r="O89" s="43" t="s">
        <v>89</v>
      </c>
      <c r="P89" s="25"/>
      <c r="Q89" s="43"/>
      <c r="R89" s="43"/>
      <c r="T89" s="43"/>
      <c r="U89" s="25"/>
      <c r="V89" s="25"/>
      <c r="W89" s="25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</row>
    <row r="90" spans="1:58" ht="15" x14ac:dyDescent="0.25">
      <c r="A90" s="15"/>
      <c r="B90" s="3">
        <v>2016</v>
      </c>
      <c r="C90" s="80">
        <f>Y90*(Inputs_Summary!$I72/$Y52)</f>
        <v>237361.23967653932</v>
      </c>
      <c r="D90" s="80">
        <f>Z90*(Inputs_Summary!$I72/$Y52)</f>
        <v>14483.908918227477</v>
      </c>
      <c r="E90" s="80">
        <f>AA90*(Inputs_Summary!$I72/$Y52)</f>
        <v>2953.3918178067293</v>
      </c>
      <c r="F90" s="80">
        <f>AB90*(Inputs_Summary!$I72/$Y52)</f>
        <v>26109.111840910784</v>
      </c>
      <c r="G90" s="80">
        <f>AC90*(Inputs_Summary!$I72/$Y52)</f>
        <v>17279.155266936097</v>
      </c>
      <c r="H90" s="44">
        <f>AD90*(Inputs_Summary!$I72/$Y52)</f>
        <v>4573.4046786099279</v>
      </c>
      <c r="I90" s="80">
        <f>AE90*(Inputs_Summary!$I72/$Y52)</f>
        <v>922.30319981359185</v>
      </c>
      <c r="J90" s="44">
        <f>AF90*(Inputs_Summary!$I72/$Y52)</f>
        <v>2684.1837758456386</v>
      </c>
      <c r="K90" s="80">
        <f>AG90*(Inputs_Summary!$I72/$Y52)</f>
        <v>0</v>
      </c>
      <c r="L90" s="80">
        <f>AH90*(Inputs_Summary!$I72/$Y52)</f>
        <v>1875.5851175839462</v>
      </c>
      <c r="M90" s="80">
        <f>AI90*(Inputs_Summary!$I72/$Y52)</f>
        <v>0</v>
      </c>
      <c r="N90" s="80">
        <f>AJ90*(Inputs_Summary!$I72/$Y52)</f>
        <v>12224.544031685698</v>
      </c>
      <c r="O90" s="80" t="e">
        <f>AK90*(Inputs_Summary!#REF!/$Y52)</f>
        <v>#REF!</v>
      </c>
      <c r="P90" s="83"/>
      <c r="Q90" s="39"/>
      <c r="R90" s="5"/>
      <c r="T90" s="5"/>
      <c r="U90" s="24"/>
      <c r="V90" s="24"/>
      <c r="W90" s="26"/>
      <c r="X90" s="39"/>
      <c r="Y90" s="82">
        <v>235642</v>
      </c>
      <c r="Z90" s="39">
        <v>14379</v>
      </c>
      <c r="AA90" s="39">
        <v>2932</v>
      </c>
      <c r="AB90" s="39">
        <v>25920</v>
      </c>
      <c r="AC90" s="39">
        <v>17154</v>
      </c>
      <c r="AD90" s="39">
        <v>4540.2788877644989</v>
      </c>
      <c r="AE90" s="39">
        <v>915.6228325511039</v>
      </c>
      <c r="AF90" s="39">
        <v>2664.7418684270319</v>
      </c>
      <c r="AG90" s="39">
        <v>0</v>
      </c>
      <c r="AH90" s="39">
        <v>1862</v>
      </c>
      <c r="AI90" s="39">
        <v>0</v>
      </c>
      <c r="AJ90" s="39">
        <v>12136</v>
      </c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</row>
    <row r="91" spans="1:58" ht="15" x14ac:dyDescent="0.25">
      <c r="A91" s="15"/>
      <c r="B91" s="3">
        <v>2030</v>
      </c>
      <c r="C91" s="80">
        <f>Y91*(Inputs_Summary!$I73/$Y53)</f>
        <v>224282.41784144277</v>
      </c>
      <c r="D91" s="80">
        <f>Z91*(Inputs_Summary!$I73/$Y53)</f>
        <v>14685.856568912006</v>
      </c>
      <c r="E91" s="80">
        <f>AA91*(Inputs_Summary!$I73/$Y53)</f>
        <v>2997.96710814978</v>
      </c>
      <c r="F91" s="80">
        <f>AB91*(Inputs_Summary!$I73/$Y53)</f>
        <v>32081.002229095127</v>
      </c>
      <c r="G91" s="80">
        <f>AC91*(Inputs_Summary!$I73/$Y53)</f>
        <v>17859.274627249524</v>
      </c>
      <c r="H91" s="44">
        <f>AD91*(Inputs_Summary!$I73/$Y53)</f>
        <v>55171.163324732566</v>
      </c>
      <c r="I91" s="80">
        <f>AE91*(Inputs_Summary!$I73/$Y53)</f>
        <v>5058.4957091918204</v>
      </c>
      <c r="J91" s="44">
        <f>AF91*(Inputs_Summary!$I73/$Y53)</f>
        <v>55409.858222080999</v>
      </c>
      <c r="K91" s="80">
        <f>AG91*(Inputs_Summary!$I73/$Y53)</f>
        <v>407.00540188899703</v>
      </c>
      <c r="L91" s="80">
        <f>AH91*(Inputs_Summary!$I73/$Y53)</f>
        <v>3053.0505459994188</v>
      </c>
      <c r="M91" s="80">
        <f>AI91*(Inputs_Summary!$I73/$Y53)</f>
        <v>7821.848174648695</v>
      </c>
      <c r="N91" s="80">
        <f>AJ91*(Inputs_Summary!$I73/$Y53)</f>
        <v>25488.330769424483</v>
      </c>
      <c r="O91" s="80" t="e">
        <f>AK91*(Inputs_Summary!#REF!/$Y53)</f>
        <v>#REF!</v>
      </c>
      <c r="P91" s="83"/>
      <c r="Q91" s="39"/>
      <c r="R91" s="5"/>
      <c r="T91" s="5"/>
      <c r="U91" s="24"/>
      <c r="V91" s="24"/>
      <c r="W91" s="26"/>
      <c r="X91" s="39"/>
      <c r="Y91" s="82">
        <v>219871</v>
      </c>
      <c r="Z91" s="82">
        <v>14397</v>
      </c>
      <c r="AA91" s="82">
        <v>2939</v>
      </c>
      <c r="AB91" s="82">
        <v>31450</v>
      </c>
      <c r="AC91" s="82">
        <v>17508</v>
      </c>
      <c r="AD91" s="82">
        <v>54086</v>
      </c>
      <c r="AE91" s="82">
        <v>4959</v>
      </c>
      <c r="AF91" s="82">
        <v>54320</v>
      </c>
      <c r="AG91" s="82">
        <v>399</v>
      </c>
      <c r="AH91" s="82">
        <v>2993</v>
      </c>
      <c r="AI91" s="82">
        <v>7668</v>
      </c>
      <c r="AJ91" s="82">
        <v>24987</v>
      </c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</row>
    <row r="92" spans="1:58" ht="15" x14ac:dyDescent="0.25">
      <c r="A92" s="15"/>
      <c r="B92" s="3">
        <v>2040</v>
      </c>
      <c r="C92" s="80">
        <f>Y92*(Inputs_Summary!$I74/$Y54)</f>
        <v>122504.79128880148</v>
      </c>
      <c r="D92" s="80">
        <f>Z92*(Inputs_Summary!$I74/$Y54)</f>
        <v>14774.255401717361</v>
      </c>
      <c r="E92" s="80">
        <f>AA92*(Inputs_Summary!$I74/$Y54)</f>
        <v>25798.200152856025</v>
      </c>
      <c r="F92" s="80">
        <f>AB92*(Inputs_Summary!$I74/$Y54)</f>
        <v>110344.90616653147</v>
      </c>
      <c r="G92" s="80">
        <f>AC92*(Inputs_Summary!$I74/$Y54)</f>
        <v>17873.735494830875</v>
      </c>
      <c r="H92" s="44">
        <f>AD92*(Inputs_Summary!$I74/$Y54)</f>
        <v>134700.83366426404</v>
      </c>
      <c r="I92" s="80">
        <f>AE92*(Inputs_Summary!$I74/$Y54)</f>
        <v>5080.0940735476825</v>
      </c>
      <c r="J92" s="44">
        <f>AF92*(Inputs_Summary!$I74/$Y54)</f>
        <v>174252.85118429322</v>
      </c>
      <c r="K92" s="80">
        <f>AG92*(Inputs_Summary!$I74/$Y54)</f>
        <v>407.7734665599761</v>
      </c>
      <c r="L92" s="80">
        <f>AH92*(Inputs_Summary!$I74/$Y54)</f>
        <v>3059.3053673440572</v>
      </c>
      <c r="M92" s="80">
        <f>AI92*(Inputs_Summary!$I74/$Y54)</f>
        <v>34640.657294713237</v>
      </c>
      <c r="N92" s="80">
        <f>AJ92*(Inputs_Summary!$I74/$Y54)</f>
        <v>25576.23479297978</v>
      </c>
      <c r="O92" s="80" t="e">
        <f>AK92*(Inputs_Summary!#REF!/$Y54)</f>
        <v>#REF!</v>
      </c>
      <c r="P92" s="83"/>
      <c r="Q92" s="39"/>
      <c r="R92" s="5"/>
      <c r="T92" s="5"/>
      <c r="U92" s="24"/>
      <c r="V92" s="24"/>
      <c r="W92" s="26"/>
      <c r="X92" s="39"/>
      <c r="Y92" s="82">
        <v>121972</v>
      </c>
      <c r="Z92" s="82">
        <v>14710</v>
      </c>
      <c r="AA92" s="82">
        <v>25686</v>
      </c>
      <c r="AB92" s="82">
        <v>109865</v>
      </c>
      <c r="AC92" s="82">
        <v>17796</v>
      </c>
      <c r="AD92" s="82">
        <v>134115</v>
      </c>
      <c r="AE92" s="82">
        <v>5058</v>
      </c>
      <c r="AF92" s="82">
        <v>173495</v>
      </c>
      <c r="AG92" s="82">
        <v>406</v>
      </c>
      <c r="AH92" s="82">
        <v>3046</v>
      </c>
      <c r="AI92" s="82">
        <v>34490</v>
      </c>
      <c r="AJ92" s="82">
        <v>25465</v>
      </c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</row>
    <row r="93" spans="1:58" ht="15" x14ac:dyDescent="0.25">
      <c r="A93" s="15"/>
      <c r="B93" s="3">
        <v>2050</v>
      </c>
      <c r="C93" s="80">
        <f>Y93*(Inputs_Summary!$I75/$Y55)</f>
        <v>75346.539885064965</v>
      </c>
      <c r="D93" s="80">
        <f>Z93*(Inputs_Summary!$I75/$Y55)</f>
        <v>0</v>
      </c>
      <c r="E93" s="80">
        <f>AA93*(Inputs_Summary!$I75/$Y55)</f>
        <v>71478.961179631398</v>
      </c>
      <c r="F93" s="80">
        <f>AB93*(Inputs_Summary!$I75/$Y55)</f>
        <v>192539.26357905124</v>
      </c>
      <c r="G93" s="80">
        <f>AC93*(Inputs_Summary!$I75/$Y55)</f>
        <v>17822.413344959779</v>
      </c>
      <c r="H93" s="44">
        <f>AD93*(Inputs_Summary!$I75/$Y55)</f>
        <v>223271.24752920034</v>
      </c>
      <c r="I93" s="80">
        <f>AE93*(Inputs_Summary!$I75/$Y55)</f>
        <v>0</v>
      </c>
      <c r="J93" s="44">
        <f>AF93*(Inputs_Summary!$I75/$Y55)</f>
        <v>248352.495433937</v>
      </c>
      <c r="K93" s="80">
        <f>AG93*(Inputs_Summary!$I75/$Y55)</f>
        <v>0</v>
      </c>
      <c r="L93" s="80">
        <f>AH93*(Inputs_Summary!$I75/$Y55)</f>
        <v>1853.3844269985586</v>
      </c>
      <c r="M93" s="80">
        <f>AI93*(Inputs_Summary!$I75/$Y55)</f>
        <v>41221.264512832851</v>
      </c>
      <c r="N93" s="80">
        <f>AJ93*(Inputs_Summary!$I75/$Y55)</f>
        <v>25588.104271922439</v>
      </c>
      <c r="O93" s="80" t="e">
        <f>AK93*(Inputs_Summary!#REF!/$Y55)</f>
        <v>#REF!</v>
      </c>
      <c r="P93" s="83"/>
      <c r="Q93" s="39"/>
      <c r="R93" s="5"/>
      <c r="T93" s="5"/>
      <c r="U93" s="24"/>
      <c r="V93" s="24"/>
      <c r="W93" s="26"/>
      <c r="X93" s="39"/>
      <c r="Y93" s="82">
        <v>74030</v>
      </c>
      <c r="Z93" s="82">
        <v>0</v>
      </c>
      <c r="AA93" s="82">
        <v>70230</v>
      </c>
      <c r="AB93" s="82">
        <v>189175</v>
      </c>
      <c r="AC93" s="82">
        <v>17511</v>
      </c>
      <c r="AD93" s="82">
        <v>219370</v>
      </c>
      <c r="AE93" s="82">
        <v>0</v>
      </c>
      <c r="AF93" s="82">
        <v>244013</v>
      </c>
      <c r="AG93" s="82">
        <v>0</v>
      </c>
      <c r="AH93" s="82">
        <v>1821</v>
      </c>
      <c r="AI93" s="82">
        <v>40501</v>
      </c>
      <c r="AJ93" s="82">
        <v>25141</v>
      </c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</row>
    <row r="94" spans="1:58" s="11" customFormat="1" ht="15" x14ac:dyDescent="0.25">
      <c r="A94" s="20"/>
      <c r="C94" s="83"/>
      <c r="D94" s="83"/>
      <c r="E94" s="83"/>
      <c r="F94" s="83"/>
      <c r="G94" s="83"/>
      <c r="H94" s="56"/>
      <c r="I94" s="83"/>
      <c r="J94" s="56"/>
      <c r="K94" s="83"/>
      <c r="L94" s="83"/>
      <c r="M94" s="83"/>
      <c r="N94" s="83"/>
      <c r="O94" s="83"/>
      <c r="P94" s="83"/>
      <c r="Q94" s="12"/>
      <c r="R94" s="57"/>
      <c r="T94" s="57"/>
      <c r="U94" s="24"/>
      <c r="V94" s="24"/>
      <c r="W94" s="26"/>
      <c r="X94" s="1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</row>
    <row r="95" spans="1:58" ht="30" x14ac:dyDescent="0.25">
      <c r="B95" s="43" t="s">
        <v>54</v>
      </c>
      <c r="C95" s="43" t="s">
        <v>0</v>
      </c>
      <c r="D95" s="43" t="s">
        <v>1</v>
      </c>
      <c r="E95" s="43" t="s">
        <v>28</v>
      </c>
      <c r="F95" s="2" t="s">
        <v>29</v>
      </c>
      <c r="G95" s="2" t="s">
        <v>6</v>
      </c>
      <c r="H95" s="43" t="s">
        <v>2</v>
      </c>
      <c r="I95" s="43" t="s">
        <v>3</v>
      </c>
      <c r="J95" s="43" t="s">
        <v>4</v>
      </c>
      <c r="K95" s="43" t="s">
        <v>9</v>
      </c>
      <c r="L95" s="43" t="s">
        <v>8</v>
      </c>
      <c r="M95" s="43" t="s">
        <v>25</v>
      </c>
      <c r="N95" s="43" t="s">
        <v>7</v>
      </c>
      <c r="O95" s="43" t="s">
        <v>89</v>
      </c>
      <c r="P95" s="25"/>
      <c r="Q95" s="43"/>
      <c r="R95" s="43"/>
      <c r="T95" s="43"/>
      <c r="U95" s="25"/>
      <c r="V95" s="25"/>
      <c r="W95" s="25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</row>
    <row r="96" spans="1:58" ht="15" x14ac:dyDescent="0.25">
      <c r="A96" s="15"/>
      <c r="B96" s="3">
        <v>2016</v>
      </c>
      <c r="C96" s="80">
        <f t="shared" ref="C96:O99" si="43">C90-C52</f>
        <v>42552.435326636099</v>
      </c>
      <c r="D96" s="80">
        <f t="shared" si="43"/>
        <v>-259.96992578286336</v>
      </c>
      <c r="E96" s="80">
        <f t="shared" si="43"/>
        <v>2197.3150618184891</v>
      </c>
      <c r="F96" s="80">
        <f t="shared" si="43"/>
        <v>24084.798169644193</v>
      </c>
      <c r="G96" s="80">
        <f t="shared" si="43"/>
        <v>1480.0309981170321</v>
      </c>
      <c r="H96" s="50">
        <f t="shared" si="43"/>
        <v>551.18839334390805</v>
      </c>
      <c r="I96" s="80">
        <f t="shared" si="43"/>
        <v>94.633274183466256</v>
      </c>
      <c r="J96" s="50">
        <f t="shared" si="43"/>
        <v>45.097541244736476</v>
      </c>
      <c r="K96" s="80">
        <f t="shared" si="43"/>
        <v>0</v>
      </c>
      <c r="L96" s="80">
        <f t="shared" si="43"/>
        <v>291.85038722989998</v>
      </c>
      <c r="M96" s="80">
        <f t="shared" si="43"/>
        <v>0</v>
      </c>
      <c r="N96" s="80">
        <f t="shared" si="43"/>
        <v>9230.1510556878038</v>
      </c>
      <c r="O96" s="80" t="e">
        <f t="shared" si="43"/>
        <v>#REF!</v>
      </c>
      <c r="P96" s="83"/>
      <c r="Q96" s="39"/>
      <c r="R96" s="5"/>
      <c r="T96" s="5"/>
      <c r="U96" s="24"/>
      <c r="V96" s="24"/>
      <c r="W96" s="26"/>
      <c r="X96" s="39"/>
      <c r="Y96" s="82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</row>
    <row r="97" spans="1:58" ht="15" x14ac:dyDescent="0.25">
      <c r="A97" s="15"/>
      <c r="B97" s="3">
        <v>2030</v>
      </c>
      <c r="C97" s="80">
        <f t="shared" si="43"/>
        <v>27655.966055174154</v>
      </c>
      <c r="D97" s="80">
        <f t="shared" si="43"/>
        <v>62.223883496813869</v>
      </c>
      <c r="E97" s="80">
        <f t="shared" si="43"/>
        <v>755.86717493670858</v>
      </c>
      <c r="F97" s="80">
        <f t="shared" si="43"/>
        <v>30913.029333950009</v>
      </c>
      <c r="G97" s="80">
        <f t="shared" si="43"/>
        <v>4696.3731085136405</v>
      </c>
      <c r="H97" s="50">
        <f t="shared" si="43"/>
        <v>1.020063663891051</v>
      </c>
      <c r="I97" s="80">
        <f t="shared" si="43"/>
        <v>0</v>
      </c>
      <c r="J97" s="50">
        <f t="shared" si="43"/>
        <v>12.240763966590748</v>
      </c>
      <c r="K97" s="80">
        <f t="shared" si="43"/>
        <v>53.043310521874332</v>
      </c>
      <c r="L97" s="80">
        <f t="shared" si="43"/>
        <v>471.26941271357555</v>
      </c>
      <c r="M97" s="80">
        <f t="shared" si="43"/>
        <v>7821.848174648695</v>
      </c>
      <c r="N97" s="80">
        <f t="shared" si="43"/>
        <v>22273.090100867794</v>
      </c>
      <c r="O97" s="80" t="e">
        <f t="shared" si="43"/>
        <v>#REF!</v>
      </c>
      <c r="P97" s="83"/>
      <c r="Q97" s="39"/>
      <c r="R97" s="5"/>
      <c r="T97" s="5"/>
      <c r="U97" s="24"/>
      <c r="V97" s="24"/>
      <c r="W97" s="26"/>
      <c r="X97" s="39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</row>
    <row r="98" spans="1:58" ht="15" x14ac:dyDescent="0.25">
      <c r="A98" s="15"/>
      <c r="B98" s="3">
        <v>2040</v>
      </c>
      <c r="C98" s="80">
        <f t="shared" si="43"/>
        <v>38570.749843110258</v>
      </c>
      <c r="D98" s="80">
        <f t="shared" si="43"/>
        <v>684.97907436922105</v>
      </c>
      <c r="E98" s="80">
        <f t="shared" si="43"/>
        <v>16733.777651122567</v>
      </c>
      <c r="F98" s="80">
        <f t="shared" si="43"/>
        <v>104460.31320945043</v>
      </c>
      <c r="G98" s="80">
        <f t="shared" si="43"/>
        <v>5683.7193282337576</v>
      </c>
      <c r="H98" s="50">
        <f t="shared" si="43"/>
        <v>0</v>
      </c>
      <c r="I98" s="80">
        <f t="shared" si="43"/>
        <v>-1.0043681442357411</v>
      </c>
      <c r="J98" s="50">
        <f t="shared" si="43"/>
        <v>7037.6075866644096</v>
      </c>
      <c r="K98" s="80">
        <f t="shared" si="43"/>
        <v>53.231511644528894</v>
      </c>
      <c r="L98" s="80">
        <f t="shared" si="43"/>
        <v>454.97876933908674</v>
      </c>
      <c r="M98" s="80">
        <f t="shared" si="43"/>
        <v>34640.657294713237</v>
      </c>
      <c r="N98" s="80">
        <f t="shared" si="43"/>
        <v>19212.558231097984</v>
      </c>
      <c r="O98" s="80" t="e">
        <f t="shared" si="43"/>
        <v>#REF!</v>
      </c>
      <c r="P98" s="83"/>
      <c r="Q98" s="39"/>
      <c r="R98" s="5"/>
      <c r="T98" s="5"/>
      <c r="U98" s="24"/>
      <c r="V98" s="24"/>
      <c r="W98" s="26"/>
      <c r="X98" s="39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</row>
    <row r="99" spans="1:58" ht="15" x14ac:dyDescent="0.25">
      <c r="A99" s="15"/>
      <c r="B99" s="3">
        <v>2050</v>
      </c>
      <c r="C99" s="80">
        <f t="shared" si="43"/>
        <v>28479.628246168963</v>
      </c>
      <c r="D99" s="80">
        <f t="shared" si="43"/>
        <v>0</v>
      </c>
      <c r="E99" s="80">
        <f t="shared" si="43"/>
        <v>47140.695499885915</v>
      </c>
      <c r="F99" s="80">
        <f t="shared" si="43"/>
        <v>183325.26620529071</v>
      </c>
      <c r="G99" s="80">
        <f t="shared" si="43"/>
        <v>6449.6963832453948</v>
      </c>
      <c r="H99" s="50">
        <f t="shared" si="43"/>
        <v>9.1600548286805861</v>
      </c>
      <c r="I99" s="80">
        <f t="shared" si="43"/>
        <v>0</v>
      </c>
      <c r="J99" s="50">
        <f t="shared" si="43"/>
        <v>34888.613274620322</v>
      </c>
      <c r="K99" s="80">
        <f t="shared" si="43"/>
        <v>0</v>
      </c>
      <c r="L99" s="80">
        <f t="shared" si="43"/>
        <v>258.51710294213831</v>
      </c>
      <c r="M99" s="80">
        <f t="shared" si="43"/>
        <v>41221.264512832851</v>
      </c>
      <c r="N99" s="80">
        <f t="shared" si="43"/>
        <v>18684.476282723524</v>
      </c>
      <c r="O99" s="80" t="e">
        <f t="shared" si="43"/>
        <v>#REF!</v>
      </c>
      <c r="P99" s="83"/>
      <c r="Q99" s="39"/>
      <c r="R99" s="5"/>
      <c r="T99" s="5"/>
      <c r="U99" s="24"/>
      <c r="V99" s="24"/>
      <c r="W99" s="26"/>
      <c r="X99" s="39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</row>
    <row r="100" spans="1:58" s="11" customFormat="1" ht="15" x14ac:dyDescent="0.25">
      <c r="A100" s="20"/>
      <c r="C100" s="83"/>
      <c r="D100" s="83"/>
      <c r="E100" s="83"/>
      <c r="F100" s="83"/>
      <c r="G100" s="83"/>
      <c r="H100" s="56"/>
      <c r="I100" s="83"/>
      <c r="J100" s="56"/>
      <c r="K100" s="83"/>
      <c r="L100" s="83"/>
      <c r="M100" s="83"/>
      <c r="N100" s="83"/>
      <c r="O100" s="83"/>
      <c r="P100" s="83"/>
      <c r="Q100" s="12"/>
      <c r="R100" s="57"/>
      <c r="T100" s="57"/>
      <c r="U100" s="24"/>
      <c r="V100" s="24"/>
      <c r="W100" s="26"/>
      <c r="X100" s="1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</row>
    <row r="101" spans="1:58" s="11" customFormat="1" ht="30" x14ac:dyDescent="0.25">
      <c r="A101" s="20"/>
      <c r="B101" s="43" t="s">
        <v>55</v>
      </c>
      <c r="C101" s="43" t="s">
        <v>0</v>
      </c>
      <c r="D101" s="43" t="s">
        <v>1</v>
      </c>
      <c r="E101" s="43" t="s">
        <v>28</v>
      </c>
      <c r="F101" s="2" t="s">
        <v>29</v>
      </c>
      <c r="G101" s="2" t="s">
        <v>6</v>
      </c>
      <c r="H101" s="43" t="s">
        <v>2</v>
      </c>
      <c r="I101" s="43" t="s">
        <v>3</v>
      </c>
      <c r="J101" s="43" t="s">
        <v>4</v>
      </c>
      <c r="K101" s="43" t="s">
        <v>9</v>
      </c>
      <c r="L101" s="43" t="s">
        <v>8</v>
      </c>
      <c r="M101" s="43" t="s">
        <v>25</v>
      </c>
      <c r="N101" s="43" t="s">
        <v>7</v>
      </c>
      <c r="O101" s="43" t="s">
        <v>89</v>
      </c>
      <c r="P101" s="25"/>
      <c r="Q101" s="12"/>
      <c r="R101" s="57"/>
      <c r="T101" s="57"/>
      <c r="U101" s="24"/>
      <c r="V101" s="24"/>
      <c r="W101" s="26"/>
      <c r="Y101" s="14"/>
    </row>
    <row r="102" spans="1:58" ht="15" x14ac:dyDescent="0.25">
      <c r="B102" s="3">
        <v>2016</v>
      </c>
      <c r="C102" s="81">
        <f>IFERROR(C96/C90,"")</f>
        <v>0.17927288964543592</v>
      </c>
      <c r="D102" s="81">
        <f t="shared" ref="D102:O105" si="44">IFERROR(D96/D90,"")</f>
        <v>-1.7948878804098289E-2</v>
      </c>
      <c r="E102" s="81">
        <f t="shared" si="44"/>
        <v>0.74399713866962502</v>
      </c>
      <c r="F102" s="81">
        <f t="shared" si="44"/>
        <v>0.92246715692202663</v>
      </c>
      <c r="G102" s="81">
        <f t="shared" si="44"/>
        <v>8.5654129224076822E-2</v>
      </c>
      <c r="H102" s="23">
        <f t="shared" si="44"/>
        <v>0.12052036329123625</v>
      </c>
      <c r="I102" s="81">
        <f t="shared" si="44"/>
        <v>0.10260538421919466</v>
      </c>
      <c r="J102" s="23">
        <f t="shared" si="44"/>
        <v>1.6801212216003624E-2</v>
      </c>
      <c r="K102" s="81" t="str">
        <f t="shared" si="44"/>
        <v/>
      </c>
      <c r="L102" s="81">
        <f t="shared" si="44"/>
        <v>0.15560498134355533</v>
      </c>
      <c r="M102" s="81" t="str">
        <f t="shared" si="44"/>
        <v/>
      </c>
      <c r="N102" s="81">
        <f t="shared" si="44"/>
        <v>0.75505074314129783</v>
      </c>
      <c r="O102" s="81" t="str">
        <f t="shared" si="44"/>
        <v/>
      </c>
      <c r="P102" s="98"/>
      <c r="Q102" s="7"/>
      <c r="R102" s="7"/>
      <c r="T102" s="8"/>
    </row>
    <row r="103" spans="1:58" ht="15" x14ac:dyDescent="0.25">
      <c r="B103" s="3">
        <v>2030</v>
      </c>
      <c r="C103" s="81">
        <f t="shared" ref="C103:N105" si="45">IFERROR(C97/C91,"")</f>
        <v>0.12330866735494904</v>
      </c>
      <c r="D103" s="81">
        <f t="shared" si="45"/>
        <v>4.2369938181565456E-3</v>
      </c>
      <c r="E103" s="81">
        <f t="shared" si="45"/>
        <v>0.25212657366451169</v>
      </c>
      <c r="F103" s="81">
        <f t="shared" si="45"/>
        <v>0.96359300476947529</v>
      </c>
      <c r="G103" s="81">
        <f t="shared" si="45"/>
        <v>0.26296550148503545</v>
      </c>
      <c r="H103" s="23">
        <f t="shared" si="45"/>
        <v>1.8489072958042353E-5</v>
      </c>
      <c r="I103" s="81">
        <f t="shared" si="45"/>
        <v>0</v>
      </c>
      <c r="J103" s="23">
        <f t="shared" si="45"/>
        <v>2.2091310751112456E-4</v>
      </c>
      <c r="K103" s="81">
        <f t="shared" si="45"/>
        <v>0.13032581453634093</v>
      </c>
      <c r="L103" s="81">
        <f t="shared" si="45"/>
        <v>0.15436017373872371</v>
      </c>
      <c r="M103" s="81">
        <f t="shared" si="45"/>
        <v>1</v>
      </c>
      <c r="N103" s="81">
        <f t="shared" si="45"/>
        <v>0.87385440429023087</v>
      </c>
      <c r="O103" s="81" t="str">
        <f t="shared" si="44"/>
        <v/>
      </c>
      <c r="P103" s="98"/>
      <c r="Q103" s="7"/>
      <c r="R103" s="7"/>
      <c r="T103" s="8"/>
    </row>
    <row r="104" spans="1:58" ht="15" x14ac:dyDescent="0.25">
      <c r="B104" s="3">
        <v>2040</v>
      </c>
      <c r="C104" s="81">
        <f t="shared" si="45"/>
        <v>0.31485094939822261</v>
      </c>
      <c r="D104" s="81">
        <f t="shared" si="45"/>
        <v>4.6363018354860647E-2</v>
      </c>
      <c r="E104" s="81">
        <f t="shared" si="45"/>
        <v>0.64864128318928604</v>
      </c>
      <c r="F104" s="81">
        <f t="shared" si="45"/>
        <v>0.94667091430391836</v>
      </c>
      <c r="G104" s="81">
        <f t="shared" si="45"/>
        <v>0.31799280737244334</v>
      </c>
      <c r="H104" s="23">
        <f t="shared" si="45"/>
        <v>0</v>
      </c>
      <c r="I104" s="81">
        <f t="shared" si="45"/>
        <v>-1.97706603400425E-4</v>
      </c>
      <c r="J104" s="23">
        <f t="shared" si="45"/>
        <v>4.0387331047004212E-2</v>
      </c>
      <c r="K104" s="81">
        <f t="shared" si="45"/>
        <v>0.13054187192118225</v>
      </c>
      <c r="L104" s="81">
        <f t="shared" si="45"/>
        <v>0.14871963230466187</v>
      </c>
      <c r="M104" s="81">
        <f t="shared" si="45"/>
        <v>1</v>
      </c>
      <c r="N104" s="81">
        <f t="shared" si="45"/>
        <v>0.75118790496760257</v>
      </c>
      <c r="O104" s="81" t="str">
        <f t="shared" si="44"/>
        <v/>
      </c>
      <c r="P104" s="98"/>
      <c r="Q104" s="7"/>
      <c r="R104" s="7"/>
      <c r="T104" s="8"/>
    </row>
    <row r="105" spans="1:58" ht="15" x14ac:dyDescent="0.25">
      <c r="B105" s="3">
        <v>2050</v>
      </c>
      <c r="C105" s="81">
        <f t="shared" si="45"/>
        <v>0.37798189923004194</v>
      </c>
      <c r="D105" s="81" t="str">
        <f t="shared" si="45"/>
        <v/>
      </c>
      <c r="E105" s="81">
        <f t="shared" si="45"/>
        <v>0.65950448526270833</v>
      </c>
      <c r="F105" s="81">
        <f t="shared" si="45"/>
        <v>0.95214483943438621</v>
      </c>
      <c r="G105" s="81">
        <f t="shared" si="45"/>
        <v>0.3618868140026269</v>
      </c>
      <c r="H105" s="23">
        <f t="shared" si="45"/>
        <v>4.102657610439784E-5</v>
      </c>
      <c r="I105" s="81" t="str">
        <f t="shared" si="45"/>
        <v/>
      </c>
      <c r="J105" s="23">
        <f t="shared" si="45"/>
        <v>0.14048022031613072</v>
      </c>
      <c r="K105" s="81" t="str">
        <f t="shared" si="45"/>
        <v/>
      </c>
      <c r="L105" s="81">
        <f t="shared" si="45"/>
        <v>0.13948380010982975</v>
      </c>
      <c r="M105" s="81">
        <f t="shared" si="45"/>
        <v>1</v>
      </c>
      <c r="N105" s="81">
        <f t="shared" si="45"/>
        <v>0.73020166262280739</v>
      </c>
      <c r="O105" s="81" t="str">
        <f t="shared" si="44"/>
        <v/>
      </c>
      <c r="P105" s="98"/>
      <c r="Q105" s="7"/>
      <c r="R105" s="7"/>
      <c r="T105" s="8"/>
    </row>
    <row r="106" spans="1:58" ht="15" x14ac:dyDescent="0.25"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</row>
    <row r="107" spans="1:58" s="9" customFormat="1" ht="21" x14ac:dyDescent="0.35">
      <c r="B107" s="10" t="s">
        <v>17</v>
      </c>
    </row>
    <row r="108" spans="1:58" s="32" customFormat="1" ht="21" x14ac:dyDescent="0.35">
      <c r="B108" s="31"/>
      <c r="P108" s="58"/>
    </row>
    <row r="109" spans="1:58" ht="30" x14ac:dyDescent="0.25">
      <c r="B109" s="43" t="s">
        <v>40</v>
      </c>
      <c r="C109" s="43" t="s">
        <v>0</v>
      </c>
      <c r="D109" s="43" t="s">
        <v>1</v>
      </c>
      <c r="E109" s="43" t="s">
        <v>28</v>
      </c>
      <c r="F109" s="2" t="s">
        <v>29</v>
      </c>
      <c r="G109" s="2" t="s">
        <v>6</v>
      </c>
      <c r="H109" s="43" t="s">
        <v>2</v>
      </c>
      <c r="I109" s="43" t="s">
        <v>3</v>
      </c>
      <c r="J109" s="43" t="s">
        <v>4</v>
      </c>
      <c r="K109" s="43" t="s">
        <v>9</v>
      </c>
      <c r="L109" s="43" t="s">
        <v>8</v>
      </c>
      <c r="M109" s="43" t="s">
        <v>25</v>
      </c>
      <c r="N109" s="43" t="s">
        <v>7</v>
      </c>
      <c r="O109" s="43" t="s">
        <v>89</v>
      </c>
      <c r="P109" s="25"/>
      <c r="Q109" s="43" t="s">
        <v>5</v>
      </c>
      <c r="R109" s="43" t="s">
        <v>91</v>
      </c>
      <c r="T109" s="43" t="s">
        <v>10</v>
      </c>
    </row>
    <row r="110" spans="1:58" ht="15" x14ac:dyDescent="0.25">
      <c r="B110" s="3">
        <v>2016</v>
      </c>
      <c r="C110" s="51">
        <f>Inputs_Summary!E$5*C34/1000000</f>
        <v>210.12155916232655</v>
      </c>
      <c r="D110" s="51">
        <f>Inputs_Summary!F$5*D34/1000000</f>
        <v>0</v>
      </c>
      <c r="E110" s="51">
        <f>Inputs_Summary!G$5*E34/1000000</f>
        <v>0.27748016944768411</v>
      </c>
      <c r="F110" s="51">
        <f>Inputs_Summary!H$5*F34/1000000</f>
        <v>1.1619560473070238</v>
      </c>
      <c r="G110" s="51">
        <f>Inputs_Summary!I$5*G34/1000000</f>
        <v>0</v>
      </c>
      <c r="H110" s="51">
        <f>Inputs_Summary!J$5*H34/1000000</f>
        <v>0</v>
      </c>
      <c r="I110" s="51">
        <f>Inputs_Summary!K$5*I34/1000000</f>
        <v>0</v>
      </c>
      <c r="J110" s="51">
        <f>Inputs_Summary!L$5*J34/1000000</f>
        <v>0</v>
      </c>
      <c r="K110" s="51">
        <f>Inputs_Summary!M$5*K34/1000000</f>
        <v>0</v>
      </c>
      <c r="L110" s="51">
        <f>Inputs_Summary!N$5*L34/1000000</f>
        <v>0</v>
      </c>
      <c r="M110" s="51">
        <f>Inputs_Summary!O$5*M34/1000000</f>
        <v>0</v>
      </c>
      <c r="N110" s="51">
        <f>Inputs_Summary!P$5*N34/1000000</f>
        <v>5.9887859519957903E-4</v>
      </c>
      <c r="O110" s="51">
        <f>Inputs_Summary!R$5*O34/1000000</f>
        <v>0</v>
      </c>
      <c r="P110" s="97"/>
      <c r="Q110" s="39">
        <f>G110+N110</f>
        <v>5.9887859519957903E-4</v>
      </c>
      <c r="R110" s="5">
        <f>SUM(K110:L110)</f>
        <v>0</v>
      </c>
      <c r="T110" s="5">
        <f>SUM(C110:O110)</f>
        <v>211.56159425767646</v>
      </c>
    </row>
    <row r="111" spans="1:58" ht="15" x14ac:dyDescent="0.25">
      <c r="B111" s="3">
        <v>2030</v>
      </c>
      <c r="C111" s="51">
        <f>Inputs_Summary!E$5*C35/1000000</f>
        <v>133.19013023703044</v>
      </c>
      <c r="D111" s="51">
        <f>Inputs_Summary!F$5*D35/1000000</f>
        <v>0</v>
      </c>
      <c r="E111" s="51">
        <f>Inputs_Summary!G$5*E35/1000000</f>
        <v>0.82285067548919721</v>
      </c>
      <c r="F111" s="51">
        <f>Inputs_Summary!H$5*F35/1000000</f>
        <v>0.30036998659407982</v>
      </c>
      <c r="G111" s="51">
        <f>Inputs_Summary!I$5*G35/1000000</f>
        <v>0</v>
      </c>
      <c r="H111" s="51">
        <f>Inputs_Summary!J$5*H35/1000000</f>
        <v>0</v>
      </c>
      <c r="I111" s="51">
        <f>Inputs_Summary!K$5*I35/1000000</f>
        <v>0</v>
      </c>
      <c r="J111" s="51">
        <f>Inputs_Summary!L$5*J35/1000000</f>
        <v>0</v>
      </c>
      <c r="K111" s="51">
        <f>Inputs_Summary!M$5*K35/1000000</f>
        <v>0</v>
      </c>
      <c r="L111" s="51">
        <f>Inputs_Summary!N$5*L35/1000000</f>
        <v>0</v>
      </c>
      <c r="M111" s="51">
        <f>Inputs_Summary!O$5*M35/1000000</f>
        <v>0</v>
      </c>
      <c r="N111" s="51">
        <f>Inputs_Summary!P$5*N35/1000000</f>
        <v>2.2543406971796577E-4</v>
      </c>
      <c r="O111" s="51">
        <f>Inputs_Summary!R$5*O35/1000000</f>
        <v>0</v>
      </c>
      <c r="P111" s="97"/>
      <c r="Q111" s="39">
        <f>G111+N111</f>
        <v>2.2543406971796577E-4</v>
      </c>
      <c r="R111" s="5">
        <f>SUM(K111:L111)</f>
        <v>0</v>
      </c>
      <c r="T111" s="5">
        <f t="shared" ref="T111:T113" si="46">SUM(C111:O111)</f>
        <v>134.31357633318345</v>
      </c>
    </row>
    <row r="112" spans="1:58" ht="15" x14ac:dyDescent="0.25">
      <c r="B112" s="3">
        <v>2040</v>
      </c>
      <c r="C112" s="51">
        <f>Inputs_Summary!E$5*C36/1000000</f>
        <v>30.174670387563278</v>
      </c>
      <c r="D112" s="51">
        <f>Inputs_Summary!F$5*D36/1000000</f>
        <v>0</v>
      </c>
      <c r="E112" s="51">
        <f>Inputs_Summary!G$5*E36/1000000</f>
        <v>0.83378023241041965</v>
      </c>
      <c r="F112" s="51">
        <f>Inputs_Summary!H$5*F36/1000000</f>
        <v>7.4945950922919738E-2</v>
      </c>
      <c r="G112" s="51">
        <f>Inputs_Summary!I$5*G36/1000000</f>
        <v>0</v>
      </c>
      <c r="H112" s="51">
        <f>Inputs_Summary!J$5*H36/1000000</f>
        <v>0</v>
      </c>
      <c r="I112" s="51">
        <f>Inputs_Summary!K$5*I36/1000000</f>
        <v>0</v>
      </c>
      <c r="J112" s="51">
        <f>Inputs_Summary!L$5*J36/1000000</f>
        <v>0</v>
      </c>
      <c r="K112" s="51">
        <f>Inputs_Summary!M$5*K36/1000000</f>
        <v>0</v>
      </c>
      <c r="L112" s="51">
        <f>Inputs_Summary!N$5*L36/1000000</f>
        <v>0</v>
      </c>
      <c r="M112" s="51">
        <f>Inputs_Summary!O$5*M36/1000000</f>
        <v>0</v>
      </c>
      <c r="N112" s="51">
        <f>Inputs_Summary!P$5*N36/1000000</f>
        <v>5.5280422658771143E-4</v>
      </c>
      <c r="O112" s="51">
        <f>Inputs_Summary!R$5*O36/1000000</f>
        <v>0</v>
      </c>
      <c r="P112" s="97"/>
      <c r="Q112" s="39">
        <f>G112+N112</f>
        <v>5.5280422658771143E-4</v>
      </c>
      <c r="R112" s="5">
        <f>SUM(K112:L112)</f>
        <v>0</v>
      </c>
      <c r="T112" s="5">
        <f t="shared" si="46"/>
        <v>31.083949375123204</v>
      </c>
    </row>
    <row r="113" spans="2:20" ht="15" x14ac:dyDescent="0.25">
      <c r="B113" s="3">
        <v>2050</v>
      </c>
      <c r="C113" s="51">
        <f>Inputs_Summary!E$5*C37/1000000</f>
        <v>0</v>
      </c>
      <c r="D113" s="51">
        <f>Inputs_Summary!F$5*D37/1000000</f>
        <v>0</v>
      </c>
      <c r="E113" s="51">
        <f>Inputs_Summary!G$5*E37/1000000</f>
        <v>0.82138516983741217</v>
      </c>
      <c r="F113" s="51">
        <f>Inputs_Summary!H$5*F37/1000000</f>
        <v>0</v>
      </c>
      <c r="G113" s="51">
        <f>Inputs_Summary!I$5*G37/1000000</f>
        <v>0</v>
      </c>
      <c r="H113" s="51">
        <f>Inputs_Summary!J$5*H37/1000000</f>
        <v>0</v>
      </c>
      <c r="I113" s="51">
        <f>Inputs_Summary!K$5*I37/1000000</f>
        <v>0</v>
      </c>
      <c r="J113" s="51">
        <f>Inputs_Summary!L$5*J37/1000000</f>
        <v>0</v>
      </c>
      <c r="K113" s="51">
        <f>Inputs_Summary!M$5*K37/1000000</f>
        <v>0</v>
      </c>
      <c r="L113" s="51">
        <f>Inputs_Summary!N$5*L37/1000000</f>
        <v>0</v>
      </c>
      <c r="M113" s="51">
        <f>Inputs_Summary!O$5*M37/1000000</f>
        <v>0</v>
      </c>
      <c r="N113" s="51">
        <f>Inputs_Summary!P$5*N37/1000000</f>
        <v>6.1881259286937051E-4</v>
      </c>
      <c r="O113" s="51">
        <f>Inputs_Summary!R$5*O37/1000000</f>
        <v>0</v>
      </c>
      <c r="P113" s="97"/>
      <c r="Q113" s="39">
        <f>G113+N113</f>
        <v>6.1881259286937051E-4</v>
      </c>
      <c r="R113" s="5">
        <f>SUM(K113:L113)</f>
        <v>0</v>
      </c>
      <c r="T113" s="5">
        <f t="shared" si="46"/>
        <v>0.8220039824302815</v>
      </c>
    </row>
    <row r="114" spans="2:20" ht="15" x14ac:dyDescent="0.25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28"/>
      <c r="Q114" s="5"/>
      <c r="R114" s="5"/>
      <c r="S114" s="5"/>
      <c r="T114" s="5"/>
    </row>
    <row r="115" spans="2:20" ht="30" x14ac:dyDescent="0.25">
      <c r="B115" s="43" t="s">
        <v>41</v>
      </c>
      <c r="C115" s="43" t="s">
        <v>0</v>
      </c>
      <c r="D115" s="43" t="s">
        <v>1</v>
      </c>
      <c r="E115" s="43" t="s">
        <v>28</v>
      </c>
      <c r="F115" s="2" t="s">
        <v>29</v>
      </c>
      <c r="G115" s="2" t="s">
        <v>6</v>
      </c>
      <c r="H115" s="43" t="s">
        <v>2</v>
      </c>
      <c r="I115" s="43" t="s">
        <v>3</v>
      </c>
      <c r="J115" s="43" t="s">
        <v>4</v>
      </c>
      <c r="K115" s="43" t="s">
        <v>9</v>
      </c>
      <c r="L115" s="43" t="s">
        <v>8</v>
      </c>
      <c r="M115" s="43" t="s">
        <v>25</v>
      </c>
      <c r="N115" s="43" t="s">
        <v>7</v>
      </c>
      <c r="O115" s="43" t="s">
        <v>89</v>
      </c>
      <c r="P115" s="25"/>
      <c r="Q115" s="43" t="s">
        <v>5</v>
      </c>
      <c r="R115" s="43" t="s">
        <v>91</v>
      </c>
      <c r="T115" s="43" t="s">
        <v>10</v>
      </c>
    </row>
    <row r="116" spans="2:20" ht="15" x14ac:dyDescent="0.25">
      <c r="B116" s="3">
        <v>2016</v>
      </c>
      <c r="C116" s="51">
        <f>Inputs_Summary!E$8*C40/1000000</f>
        <v>0</v>
      </c>
      <c r="D116" s="51">
        <f>Inputs_Summary!F$8*D40/1000000</f>
        <v>0</v>
      </c>
      <c r="E116" s="51">
        <f>Inputs_Summary!G$8*E40/1000000</f>
        <v>0</v>
      </c>
      <c r="F116" s="51">
        <f>Inputs_Summary!H$8*F40/1000000</f>
        <v>0</v>
      </c>
      <c r="G116" s="51">
        <f>Inputs_Summary!I$8*G40/1000000</f>
        <v>0</v>
      </c>
      <c r="H116" s="51">
        <f>Inputs_Summary!J$8*H40/1000000</f>
        <v>0</v>
      </c>
      <c r="I116" s="51">
        <f>Inputs_Summary!K$8*I40/1000000</f>
        <v>0</v>
      </c>
      <c r="J116" s="51">
        <f>Inputs_Summary!L$8*J40/1000000</f>
        <v>0</v>
      </c>
      <c r="K116" s="51">
        <f>Inputs_Summary!M$8*K40/1000000</f>
        <v>0</v>
      </c>
      <c r="L116" s="51">
        <f>Inputs_Summary!N$8*L40/1000000</f>
        <v>0</v>
      </c>
      <c r="M116" s="51">
        <f>Inputs_Summary!O$8*M40/1000000</f>
        <v>0</v>
      </c>
      <c r="N116" s="51">
        <f>Inputs_Summary!P$8*N40/1000000</f>
        <v>0</v>
      </c>
      <c r="O116" s="51">
        <f>Inputs_Summary!R$8*O40/1000000</f>
        <v>0</v>
      </c>
      <c r="P116" s="97"/>
      <c r="Q116" s="39">
        <f>G116+N116</f>
        <v>0</v>
      </c>
      <c r="R116" s="5">
        <f>SUM(K116:L116)</f>
        <v>0</v>
      </c>
      <c r="T116" s="5">
        <f>SUM(C116:O116)</f>
        <v>0</v>
      </c>
    </row>
    <row r="117" spans="2:20" ht="15" x14ac:dyDescent="0.25">
      <c r="B117" s="3">
        <v>2030</v>
      </c>
      <c r="C117" s="51">
        <f>Inputs_Summary!E$8*C41/1000000</f>
        <v>71.366968415391014</v>
      </c>
      <c r="D117" s="51">
        <f>Inputs_Summary!F$8*D41/1000000</f>
        <v>0</v>
      </c>
      <c r="E117" s="51">
        <f>Inputs_Summary!G$8*E41/1000000</f>
        <v>0</v>
      </c>
      <c r="F117" s="51">
        <f>Inputs_Summary!H$8*F41/1000000</f>
        <v>0</v>
      </c>
      <c r="G117" s="51">
        <f>Inputs_Summary!I$8*G41/1000000</f>
        <v>0</v>
      </c>
      <c r="H117" s="51">
        <f>Inputs_Summary!J$8*H41/1000000</f>
        <v>0</v>
      </c>
      <c r="I117" s="51">
        <f>Inputs_Summary!K$8*I41/1000000</f>
        <v>0</v>
      </c>
      <c r="J117" s="51">
        <f>Inputs_Summary!L$8*J41/1000000</f>
        <v>0</v>
      </c>
      <c r="K117" s="51">
        <f>Inputs_Summary!M$8*K41/1000000</f>
        <v>0</v>
      </c>
      <c r="L117" s="51">
        <f>Inputs_Summary!N$8*L41/1000000</f>
        <v>0</v>
      </c>
      <c r="M117" s="51">
        <f>Inputs_Summary!O$8*M41/1000000</f>
        <v>0</v>
      </c>
      <c r="N117" s="51">
        <f>Inputs_Summary!P$8*N41/1000000</f>
        <v>3.2132005412289241E-4</v>
      </c>
      <c r="O117" s="51">
        <f>Inputs_Summary!R$8*O41/1000000</f>
        <v>0</v>
      </c>
      <c r="P117" s="97"/>
      <c r="Q117" s="39">
        <f>G117+N117</f>
        <v>3.2132005412289241E-4</v>
      </c>
      <c r="R117" s="5">
        <f>SUM(K117:L117)</f>
        <v>0</v>
      </c>
      <c r="T117" s="5">
        <f t="shared" ref="T117:T119" si="47">SUM(C117:O117)</f>
        <v>71.367289735445141</v>
      </c>
    </row>
    <row r="118" spans="2:20" ht="15" x14ac:dyDescent="0.25">
      <c r="B118" s="3">
        <v>2040</v>
      </c>
      <c r="C118" s="51">
        <f>Inputs_Summary!E$8*C42/1000000</f>
        <v>54.599875480751386</v>
      </c>
      <c r="D118" s="51">
        <f>Inputs_Summary!F$8*D42/1000000</f>
        <v>0</v>
      </c>
      <c r="E118" s="51">
        <f>Inputs_Summary!G$8*E42/1000000</f>
        <v>0</v>
      </c>
      <c r="F118" s="51">
        <f>Inputs_Summary!H$8*F42/1000000</f>
        <v>0</v>
      </c>
      <c r="G118" s="51">
        <f>Inputs_Summary!I$8*G42/1000000</f>
        <v>0</v>
      </c>
      <c r="H118" s="51">
        <f>Inputs_Summary!J$8*H42/1000000</f>
        <v>0</v>
      </c>
      <c r="I118" s="51">
        <f>Inputs_Summary!K$8*I42/1000000</f>
        <v>0</v>
      </c>
      <c r="J118" s="51">
        <f>Inputs_Summary!L$8*J42/1000000</f>
        <v>0</v>
      </c>
      <c r="K118" s="51">
        <f>Inputs_Summary!M$8*K42/1000000</f>
        <v>0</v>
      </c>
      <c r="L118" s="51">
        <f>Inputs_Summary!N$8*L42/1000000</f>
        <v>0</v>
      </c>
      <c r="M118" s="51">
        <f>Inputs_Summary!O$8*M42/1000000</f>
        <v>0</v>
      </c>
      <c r="N118" s="51">
        <f>Inputs_Summary!P$8*N42/1000000</f>
        <v>5.5842868819543524E-4</v>
      </c>
      <c r="O118" s="51">
        <f>Inputs_Summary!R$8*O42/1000000</f>
        <v>0</v>
      </c>
      <c r="P118" s="97"/>
      <c r="Q118" s="39">
        <f>G118+N118</f>
        <v>5.5842868819543524E-4</v>
      </c>
      <c r="R118" s="5">
        <f>SUM(K118:L118)</f>
        <v>0</v>
      </c>
      <c r="T118" s="5">
        <f t="shared" si="47"/>
        <v>54.60043390943958</v>
      </c>
    </row>
    <row r="119" spans="2:20" ht="15" x14ac:dyDescent="0.25">
      <c r="B119" s="3">
        <v>2050</v>
      </c>
      <c r="C119" s="51">
        <f>Inputs_Summary!E$8*C43/1000000</f>
        <v>45.729128399956075</v>
      </c>
      <c r="D119" s="51">
        <f>Inputs_Summary!F$8*D43/1000000</f>
        <v>0</v>
      </c>
      <c r="E119" s="51">
        <f>Inputs_Summary!G$8*E43/1000000</f>
        <v>0</v>
      </c>
      <c r="F119" s="51">
        <f>Inputs_Summary!H$8*F43/1000000</f>
        <v>0</v>
      </c>
      <c r="G119" s="51">
        <f>Inputs_Summary!I$8*G43/1000000</f>
        <v>0</v>
      </c>
      <c r="H119" s="51">
        <f>Inputs_Summary!J$8*H43/1000000</f>
        <v>0</v>
      </c>
      <c r="I119" s="51">
        <f>Inputs_Summary!K$8*I43/1000000</f>
        <v>0</v>
      </c>
      <c r="J119" s="51">
        <f>Inputs_Summary!L$8*J43/1000000</f>
        <v>0</v>
      </c>
      <c r="K119" s="51">
        <f>Inputs_Summary!M$8*K43/1000000</f>
        <v>0</v>
      </c>
      <c r="L119" s="51">
        <f>Inputs_Summary!N$8*L43/1000000</f>
        <v>0</v>
      </c>
      <c r="M119" s="51">
        <f>Inputs_Summary!O$8*M43/1000000</f>
        <v>0</v>
      </c>
      <c r="N119" s="51">
        <f>Inputs_Summary!P$8*N43/1000000</f>
        <v>5.8990753096560392E-4</v>
      </c>
      <c r="O119" s="51">
        <f>Inputs_Summary!R$8*O43/1000000</f>
        <v>0</v>
      </c>
      <c r="P119" s="97"/>
      <c r="Q119" s="39">
        <f>G119+N119</f>
        <v>5.8990753096560392E-4</v>
      </c>
      <c r="R119" s="5">
        <f>SUM(K119:L119)</f>
        <v>0</v>
      </c>
      <c r="T119" s="5">
        <f t="shared" si="47"/>
        <v>45.72971830748704</v>
      </c>
    </row>
    <row r="120" spans="2:20" ht="15" x14ac:dyDescent="0.25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28"/>
      <c r="Q120" s="5"/>
      <c r="R120" s="5"/>
      <c r="S120" s="5"/>
      <c r="T120" s="5"/>
    </row>
    <row r="121" spans="2:20" ht="30" x14ac:dyDescent="0.25">
      <c r="B121" s="43" t="s">
        <v>42</v>
      </c>
      <c r="C121" s="43" t="s">
        <v>0</v>
      </c>
      <c r="D121" s="43" t="s">
        <v>1</v>
      </c>
      <c r="E121" s="43" t="s">
        <v>28</v>
      </c>
      <c r="F121" s="2" t="s">
        <v>29</v>
      </c>
      <c r="G121" s="2" t="s">
        <v>6</v>
      </c>
      <c r="H121" s="43" t="s">
        <v>2</v>
      </c>
      <c r="I121" s="43" t="s">
        <v>3</v>
      </c>
      <c r="J121" s="43" t="s">
        <v>4</v>
      </c>
      <c r="K121" s="43" t="s">
        <v>9</v>
      </c>
      <c r="L121" s="43" t="s">
        <v>8</v>
      </c>
      <c r="M121" s="43" t="s">
        <v>25</v>
      </c>
      <c r="N121" s="43" t="s">
        <v>7</v>
      </c>
      <c r="O121" s="43" t="s">
        <v>89</v>
      </c>
      <c r="P121" s="25"/>
      <c r="Q121" s="43" t="s">
        <v>5</v>
      </c>
      <c r="R121" s="43" t="s">
        <v>91</v>
      </c>
      <c r="T121" s="43" t="s">
        <v>10</v>
      </c>
    </row>
    <row r="122" spans="2:20" ht="15" x14ac:dyDescent="0.25">
      <c r="B122" s="3">
        <v>2016</v>
      </c>
      <c r="C122" s="51">
        <f>Inputs_Summary!E$11*C46/1000000</f>
        <v>0</v>
      </c>
      <c r="D122" s="51">
        <f>Inputs_Summary!F$11*D46/1000000</f>
        <v>0</v>
      </c>
      <c r="E122" s="51">
        <f>Inputs_Summary!G$11*E46/1000000</f>
        <v>0</v>
      </c>
      <c r="F122" s="51">
        <f>Inputs_Summary!H$11*F46/1000000</f>
        <v>0</v>
      </c>
      <c r="G122" s="51">
        <f>Inputs_Summary!I$11*G46/1000000</f>
        <v>0</v>
      </c>
      <c r="H122" s="51">
        <f>Inputs_Summary!J$11*H46/1000000</f>
        <v>0</v>
      </c>
      <c r="I122" s="51">
        <f>Inputs_Summary!K$11*I46/1000000</f>
        <v>0</v>
      </c>
      <c r="J122" s="51">
        <f>Inputs_Summary!L$11*J46/1000000</f>
        <v>0</v>
      </c>
      <c r="K122" s="51">
        <f>Inputs_Summary!M$11*K46/1000000</f>
        <v>0</v>
      </c>
      <c r="L122" s="51">
        <f>Inputs_Summary!N$11*L46/1000000</f>
        <v>0</v>
      </c>
      <c r="M122" s="51">
        <f>Inputs_Summary!O$11*M46/1000000</f>
        <v>0</v>
      </c>
      <c r="N122" s="51">
        <f>Inputs_Summary!P$11*N46/1000000</f>
        <v>0</v>
      </c>
      <c r="O122" s="51">
        <f>Inputs_Summary!R$11*O46/1000000</f>
        <v>0</v>
      </c>
      <c r="P122" s="97"/>
      <c r="Q122" s="39">
        <f>G122+N122</f>
        <v>0</v>
      </c>
      <c r="R122" s="5">
        <f>SUM(K122:L122)</f>
        <v>0</v>
      </c>
      <c r="T122" s="5">
        <f>SUM(C122:O122)</f>
        <v>0</v>
      </c>
    </row>
    <row r="123" spans="2:20" ht="15" x14ac:dyDescent="0.25">
      <c r="B123" s="3">
        <v>2030</v>
      </c>
      <c r="C123" s="51">
        <f>Inputs_Summary!E$11*C47/1000000</f>
        <v>0</v>
      </c>
      <c r="D123" s="51">
        <f>Inputs_Summary!F$11*D47/1000000</f>
        <v>0</v>
      </c>
      <c r="E123" s="51">
        <f>Inputs_Summary!G$11*E47/1000000</f>
        <v>0</v>
      </c>
      <c r="F123" s="51">
        <f>Inputs_Summary!H$11*F47/1000000</f>
        <v>0.3700464552192172</v>
      </c>
      <c r="G123" s="51">
        <f>Inputs_Summary!I$11*G47/1000000</f>
        <v>0</v>
      </c>
      <c r="H123" s="51">
        <f>Inputs_Summary!J$11*H47/1000000</f>
        <v>0</v>
      </c>
      <c r="I123" s="51">
        <f>Inputs_Summary!K$11*I47/1000000</f>
        <v>0</v>
      </c>
      <c r="J123" s="51">
        <f>Inputs_Summary!L$11*J47/1000000</f>
        <v>0</v>
      </c>
      <c r="K123" s="51">
        <f>Inputs_Summary!M$11*K47/1000000</f>
        <v>0</v>
      </c>
      <c r="L123" s="51">
        <f>Inputs_Summary!N$11*L47/1000000</f>
        <v>0</v>
      </c>
      <c r="M123" s="51">
        <f>Inputs_Summary!O$11*M47/1000000</f>
        <v>0</v>
      </c>
      <c r="N123" s="51">
        <f>Inputs_Summary!P$11*N47/1000000</f>
        <v>9.6294009870479498E-5</v>
      </c>
      <c r="O123" s="51">
        <f>Inputs_Summary!R$11*O47/1000000</f>
        <v>0</v>
      </c>
      <c r="P123" s="97"/>
      <c r="Q123" s="39">
        <f>G123+N123</f>
        <v>9.6294009870479498E-5</v>
      </c>
      <c r="R123" s="5">
        <f>SUM(K123:L123)</f>
        <v>0</v>
      </c>
      <c r="T123" s="5">
        <f t="shared" ref="T123:T125" si="48">SUM(C123:O123)</f>
        <v>0.37014274922908769</v>
      </c>
    </row>
    <row r="124" spans="2:20" ht="15" x14ac:dyDescent="0.25">
      <c r="B124" s="3">
        <v>2040</v>
      </c>
      <c r="C124" s="51">
        <f>Inputs_Summary!E$11*C48/1000000</f>
        <v>0</v>
      </c>
      <c r="D124" s="51">
        <f>Inputs_Summary!F$11*D48/1000000</f>
        <v>0</v>
      </c>
      <c r="E124" s="51">
        <f>Inputs_Summary!G$11*E48/1000000</f>
        <v>2.4928628257257599</v>
      </c>
      <c r="F124" s="51">
        <f>Inputs_Summary!H$11*F48/1000000</f>
        <v>3.3028104064415942</v>
      </c>
      <c r="G124" s="51">
        <f>Inputs_Summary!I$11*G48/1000000</f>
        <v>0</v>
      </c>
      <c r="H124" s="51">
        <f>Inputs_Summary!J$11*H48/1000000</f>
        <v>0</v>
      </c>
      <c r="I124" s="51">
        <f>Inputs_Summary!K$11*I48/1000000</f>
        <v>0</v>
      </c>
      <c r="J124" s="51">
        <f>Inputs_Summary!L$11*J48/1000000</f>
        <v>0</v>
      </c>
      <c r="K124" s="51">
        <f>Inputs_Summary!M$11*K48/1000000</f>
        <v>0</v>
      </c>
      <c r="L124" s="51">
        <f>Inputs_Summary!N$11*L48/1000000</f>
        <v>0</v>
      </c>
      <c r="M124" s="51">
        <f>Inputs_Summary!O$11*M48/1000000</f>
        <v>0</v>
      </c>
      <c r="N124" s="51">
        <f>Inputs_Summary!P$11*N48/1000000</f>
        <v>1.6150239759321221E-4</v>
      </c>
      <c r="O124" s="51">
        <f>Inputs_Summary!R$11*O48/1000000</f>
        <v>0</v>
      </c>
      <c r="P124" s="97"/>
      <c r="Q124" s="39">
        <f>G124+N124</f>
        <v>1.6150239759321221E-4</v>
      </c>
      <c r="R124" s="5">
        <f>SUM(K124:L124)</f>
        <v>0</v>
      </c>
      <c r="T124" s="5">
        <f t="shared" si="48"/>
        <v>5.7958347345649477</v>
      </c>
    </row>
    <row r="125" spans="2:20" ht="15" x14ac:dyDescent="0.25">
      <c r="B125" s="3">
        <v>2050</v>
      </c>
      <c r="C125" s="51">
        <f>Inputs_Summary!E$11*C49/1000000</f>
        <v>0</v>
      </c>
      <c r="D125" s="51">
        <f>Inputs_Summary!F$11*D49/1000000</f>
        <v>0</v>
      </c>
      <c r="E125" s="51">
        <f>Inputs_Summary!G$11*E49/1000000</f>
        <v>8.1107583346291818</v>
      </c>
      <c r="F125" s="51">
        <f>Inputs_Summary!H$11*F49/1000000</f>
        <v>5.2888344925385518</v>
      </c>
      <c r="G125" s="51">
        <f>Inputs_Summary!I$11*G49/1000000</f>
        <v>0</v>
      </c>
      <c r="H125" s="51">
        <f>Inputs_Summary!J$11*H49/1000000</f>
        <v>0</v>
      </c>
      <c r="I125" s="51">
        <f>Inputs_Summary!K$11*I49/1000000</f>
        <v>0</v>
      </c>
      <c r="J125" s="51">
        <f>Inputs_Summary!L$11*J49/1000000</f>
        <v>0</v>
      </c>
      <c r="K125" s="51">
        <f>Inputs_Summary!M$11*K49/1000000</f>
        <v>0</v>
      </c>
      <c r="L125" s="51">
        <f>Inputs_Summary!N$11*L49/1000000</f>
        <v>0</v>
      </c>
      <c r="M125" s="51">
        <f>Inputs_Summary!O$11*M49/1000000</f>
        <v>0</v>
      </c>
      <c r="N125" s="51">
        <f>Inputs_Summary!P$11*N49/1000000</f>
        <v>1.7200547400480858E-4</v>
      </c>
      <c r="O125" s="51">
        <f>Inputs_Summary!R$11*O49/1000000</f>
        <v>0</v>
      </c>
      <c r="P125" s="97"/>
      <c r="Q125" s="39">
        <f>G125+N125</f>
        <v>1.7200547400480858E-4</v>
      </c>
      <c r="R125" s="5">
        <f>SUM(K125:L125)</f>
        <v>0</v>
      </c>
      <c r="T125" s="5">
        <f t="shared" si="48"/>
        <v>13.399764832641738</v>
      </c>
    </row>
    <row r="126" spans="2:20" ht="15" x14ac:dyDescent="0.25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28"/>
    </row>
    <row r="127" spans="2:20" ht="30" x14ac:dyDescent="0.25">
      <c r="B127" s="43" t="s">
        <v>24</v>
      </c>
      <c r="C127" s="43" t="s">
        <v>0</v>
      </c>
      <c r="D127" s="43" t="s">
        <v>1</v>
      </c>
      <c r="E127" s="43" t="s">
        <v>28</v>
      </c>
      <c r="F127" s="2" t="s">
        <v>29</v>
      </c>
      <c r="G127" s="2" t="s">
        <v>6</v>
      </c>
      <c r="H127" s="43" t="s">
        <v>2</v>
      </c>
      <c r="I127" s="43" t="s">
        <v>3</v>
      </c>
      <c r="J127" s="43" t="s">
        <v>4</v>
      </c>
      <c r="K127" s="43" t="s">
        <v>9</v>
      </c>
      <c r="L127" s="43" t="s">
        <v>8</v>
      </c>
      <c r="M127" s="43" t="s">
        <v>25</v>
      </c>
      <c r="N127" s="43" t="s">
        <v>7</v>
      </c>
      <c r="O127" s="43" t="s">
        <v>89</v>
      </c>
      <c r="P127" s="25"/>
      <c r="Q127" s="43" t="s">
        <v>5</v>
      </c>
      <c r="R127" s="43" t="s">
        <v>91</v>
      </c>
      <c r="T127" s="43" t="s">
        <v>10</v>
      </c>
    </row>
    <row r="128" spans="2:20" ht="15" x14ac:dyDescent="0.25">
      <c r="B128" s="3">
        <v>2016</v>
      </c>
      <c r="C128" s="51">
        <f t="shared" ref="C128:O131" si="49">C110+C116+C122</f>
        <v>210.12155916232655</v>
      </c>
      <c r="D128" s="51">
        <f t="shared" si="49"/>
        <v>0</v>
      </c>
      <c r="E128" s="51">
        <f t="shared" si="49"/>
        <v>0.27748016944768411</v>
      </c>
      <c r="F128" s="51">
        <f t="shared" si="49"/>
        <v>1.1619560473070238</v>
      </c>
      <c r="G128" s="51">
        <f t="shared" si="49"/>
        <v>0</v>
      </c>
      <c r="H128" s="51">
        <f t="shared" si="49"/>
        <v>0</v>
      </c>
      <c r="I128" s="51">
        <f t="shared" si="49"/>
        <v>0</v>
      </c>
      <c r="J128" s="51">
        <f t="shared" si="49"/>
        <v>0</v>
      </c>
      <c r="K128" s="51">
        <f t="shared" si="49"/>
        <v>0</v>
      </c>
      <c r="L128" s="51">
        <f t="shared" si="49"/>
        <v>0</v>
      </c>
      <c r="M128" s="51">
        <f t="shared" si="49"/>
        <v>0</v>
      </c>
      <c r="N128" s="51">
        <f t="shared" si="49"/>
        <v>5.9887859519957903E-4</v>
      </c>
      <c r="O128" s="51">
        <f t="shared" si="49"/>
        <v>0</v>
      </c>
      <c r="P128" s="97"/>
      <c r="Q128" s="39">
        <f>G128+N128</f>
        <v>5.9887859519957903E-4</v>
      </c>
      <c r="R128" s="5">
        <f>SUM(K128:L128)</f>
        <v>0</v>
      </c>
      <c r="T128" s="5">
        <f>SUM(C128:O128)</f>
        <v>211.56159425767646</v>
      </c>
    </row>
    <row r="129" spans="2:20" ht="15" x14ac:dyDescent="0.25">
      <c r="B129" s="3">
        <v>2030</v>
      </c>
      <c r="C129" s="51">
        <f t="shared" si="49"/>
        <v>204.55709865242147</v>
      </c>
      <c r="D129" s="51">
        <f t="shared" si="49"/>
        <v>0</v>
      </c>
      <c r="E129" s="51">
        <f t="shared" si="49"/>
        <v>0.82285067548919721</v>
      </c>
      <c r="F129" s="51">
        <f t="shared" si="49"/>
        <v>0.67041644181329696</v>
      </c>
      <c r="G129" s="51">
        <f t="shared" si="49"/>
        <v>0</v>
      </c>
      <c r="H129" s="51">
        <f t="shared" si="49"/>
        <v>0</v>
      </c>
      <c r="I129" s="51">
        <f t="shared" si="49"/>
        <v>0</v>
      </c>
      <c r="J129" s="51">
        <f t="shared" si="49"/>
        <v>0</v>
      </c>
      <c r="K129" s="51">
        <f t="shared" si="49"/>
        <v>0</v>
      </c>
      <c r="L129" s="51">
        <f t="shared" si="49"/>
        <v>0</v>
      </c>
      <c r="M129" s="51">
        <f t="shared" si="49"/>
        <v>0</v>
      </c>
      <c r="N129" s="51">
        <f t="shared" si="49"/>
        <v>6.4304813371133759E-4</v>
      </c>
      <c r="O129" s="51">
        <f t="shared" si="49"/>
        <v>0</v>
      </c>
      <c r="P129" s="97"/>
      <c r="Q129" s="39">
        <f>G129+N129</f>
        <v>6.4304813371133759E-4</v>
      </c>
      <c r="R129" s="5">
        <f>SUM(K129:L129)</f>
        <v>0</v>
      </c>
      <c r="T129" s="5">
        <f t="shared" ref="T129:T131" si="50">SUM(C129:O129)</f>
        <v>206.05100881785771</v>
      </c>
    </row>
    <row r="130" spans="2:20" ht="15" x14ac:dyDescent="0.25">
      <c r="B130" s="3">
        <v>2040</v>
      </c>
      <c r="C130" s="51">
        <f t="shared" si="49"/>
        <v>84.774545868314661</v>
      </c>
      <c r="D130" s="51">
        <f t="shared" si="49"/>
        <v>0</v>
      </c>
      <c r="E130" s="51">
        <f t="shared" si="49"/>
        <v>3.3266430581361797</v>
      </c>
      <c r="F130" s="51">
        <f t="shared" si="49"/>
        <v>3.3777563573645137</v>
      </c>
      <c r="G130" s="51">
        <f t="shared" si="49"/>
        <v>0</v>
      </c>
      <c r="H130" s="51">
        <f t="shared" si="49"/>
        <v>0</v>
      </c>
      <c r="I130" s="51">
        <f t="shared" si="49"/>
        <v>0</v>
      </c>
      <c r="J130" s="51">
        <f t="shared" si="49"/>
        <v>0</v>
      </c>
      <c r="K130" s="51">
        <f t="shared" si="49"/>
        <v>0</v>
      </c>
      <c r="L130" s="51">
        <f t="shared" si="49"/>
        <v>0</v>
      </c>
      <c r="M130" s="51">
        <f t="shared" si="49"/>
        <v>0</v>
      </c>
      <c r="N130" s="51">
        <f t="shared" si="49"/>
        <v>1.2727353123763588E-3</v>
      </c>
      <c r="O130" s="51">
        <f t="shared" si="49"/>
        <v>0</v>
      </c>
      <c r="P130" s="97"/>
      <c r="Q130" s="39">
        <f>G130+N130</f>
        <v>1.2727353123763588E-3</v>
      </c>
      <c r="R130" s="5">
        <f>SUM(K130:L130)</f>
        <v>0</v>
      </c>
      <c r="T130" s="5">
        <f t="shared" si="50"/>
        <v>91.480218019127733</v>
      </c>
    </row>
    <row r="131" spans="2:20" ht="15" x14ac:dyDescent="0.25">
      <c r="B131" s="3">
        <v>2050</v>
      </c>
      <c r="C131" s="51">
        <f t="shared" si="49"/>
        <v>45.729128399956075</v>
      </c>
      <c r="D131" s="51">
        <f t="shared" si="49"/>
        <v>0</v>
      </c>
      <c r="E131" s="51">
        <f t="shared" si="49"/>
        <v>8.9321435044665947</v>
      </c>
      <c r="F131" s="51">
        <f t="shared" si="49"/>
        <v>5.2888344925385518</v>
      </c>
      <c r="G131" s="51">
        <f t="shared" si="49"/>
        <v>0</v>
      </c>
      <c r="H131" s="51">
        <f t="shared" si="49"/>
        <v>0</v>
      </c>
      <c r="I131" s="51">
        <f t="shared" si="49"/>
        <v>0</v>
      </c>
      <c r="J131" s="51">
        <f t="shared" si="49"/>
        <v>0</v>
      </c>
      <c r="K131" s="51">
        <f t="shared" si="49"/>
        <v>0</v>
      </c>
      <c r="L131" s="51">
        <f t="shared" si="49"/>
        <v>0</v>
      </c>
      <c r="M131" s="51">
        <f t="shared" si="49"/>
        <v>0</v>
      </c>
      <c r="N131" s="51">
        <f t="shared" si="49"/>
        <v>1.3807255978397829E-3</v>
      </c>
      <c r="O131" s="51">
        <f t="shared" si="49"/>
        <v>0</v>
      </c>
      <c r="P131" s="97"/>
      <c r="Q131" s="39">
        <f>G131+N131</f>
        <v>1.3807255978397829E-3</v>
      </c>
      <c r="R131" s="5">
        <f>SUM(K131:L131)</f>
        <v>0</v>
      </c>
      <c r="T131" s="5">
        <f t="shared" si="50"/>
        <v>59.951487122559058</v>
      </c>
    </row>
    <row r="132" spans="2:20" ht="15" x14ac:dyDescent="0.25"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28"/>
    </row>
    <row r="133" spans="2:20" ht="15" x14ac:dyDescent="0.25">
      <c r="B133" s="3">
        <v>2016</v>
      </c>
      <c r="C133" s="23">
        <f t="shared" ref="C133:O136" si="51">IFERROR(C128/$T128,0)</f>
        <v>0.99319330571126252</v>
      </c>
      <c r="D133" s="23">
        <f t="shared" si="51"/>
        <v>0</v>
      </c>
      <c r="E133" s="23">
        <f t="shared" si="51"/>
        <v>1.3115810098770599E-3</v>
      </c>
      <c r="F133" s="23">
        <f t="shared" si="51"/>
        <v>5.4922825259663714E-3</v>
      </c>
      <c r="G133" s="23">
        <f t="shared" si="51"/>
        <v>0</v>
      </c>
      <c r="H133" s="23">
        <f t="shared" si="51"/>
        <v>0</v>
      </c>
      <c r="I133" s="23">
        <f t="shared" si="51"/>
        <v>0</v>
      </c>
      <c r="J133" s="23">
        <f t="shared" si="51"/>
        <v>0</v>
      </c>
      <c r="K133" s="23">
        <f t="shared" si="51"/>
        <v>0</v>
      </c>
      <c r="L133" s="23">
        <f t="shared" si="51"/>
        <v>0</v>
      </c>
      <c r="M133" s="23">
        <f t="shared" si="51"/>
        <v>0</v>
      </c>
      <c r="N133" s="23">
        <f t="shared" si="51"/>
        <v>2.8307528939782927E-6</v>
      </c>
      <c r="O133" s="23">
        <f t="shared" si="51"/>
        <v>0</v>
      </c>
      <c r="P133" s="26"/>
      <c r="Q133" s="7">
        <f t="shared" ref="Q133:R136" si="52">Q128/$T128</f>
        <v>2.8307528939782927E-6</v>
      </c>
      <c r="R133" s="7">
        <f t="shared" si="52"/>
        <v>0</v>
      </c>
      <c r="T133" s="8">
        <f>SUM(C133:O133)</f>
        <v>0.99999999999999989</v>
      </c>
    </row>
    <row r="134" spans="2:20" ht="15" x14ac:dyDescent="0.25">
      <c r="B134" s="3">
        <v>2030</v>
      </c>
      <c r="C134" s="23">
        <f t="shared" si="51"/>
        <v>0.99274980416739045</v>
      </c>
      <c r="D134" s="23">
        <f t="shared" si="51"/>
        <v>0</v>
      </c>
      <c r="E134" s="23">
        <f t="shared" si="51"/>
        <v>3.9934319186787871E-3</v>
      </c>
      <c r="F134" s="23">
        <f t="shared" si="51"/>
        <v>3.253643093812382E-3</v>
      </c>
      <c r="G134" s="23">
        <f t="shared" si="51"/>
        <v>0</v>
      </c>
      <c r="H134" s="23">
        <f t="shared" si="51"/>
        <v>0</v>
      </c>
      <c r="I134" s="23">
        <f t="shared" si="51"/>
        <v>0</v>
      </c>
      <c r="J134" s="23">
        <f t="shared" si="51"/>
        <v>0</v>
      </c>
      <c r="K134" s="23">
        <f t="shared" si="51"/>
        <v>0</v>
      </c>
      <c r="L134" s="23">
        <f t="shared" si="51"/>
        <v>0</v>
      </c>
      <c r="M134" s="23">
        <f t="shared" si="51"/>
        <v>0</v>
      </c>
      <c r="N134" s="23">
        <f t="shared" si="51"/>
        <v>3.1208201182832882E-6</v>
      </c>
      <c r="O134" s="23">
        <f t="shared" si="51"/>
        <v>0</v>
      </c>
      <c r="P134" s="26"/>
      <c r="Q134" s="7">
        <f t="shared" si="52"/>
        <v>3.1208201182832882E-6</v>
      </c>
      <c r="R134" s="7">
        <f t="shared" si="52"/>
        <v>0</v>
      </c>
      <c r="T134" s="8">
        <f t="shared" ref="T134:T136" si="53">SUM(C134:O134)</f>
        <v>0.99999999999999989</v>
      </c>
    </row>
    <row r="135" spans="2:20" ht="15" x14ac:dyDescent="0.25">
      <c r="B135" s="3">
        <v>2040</v>
      </c>
      <c r="C135" s="23">
        <f t="shared" si="51"/>
        <v>0.92669811795364354</v>
      </c>
      <c r="D135" s="23">
        <f t="shared" si="51"/>
        <v>0</v>
      </c>
      <c r="E135" s="23">
        <f t="shared" si="51"/>
        <v>3.6364616637015526E-2</v>
      </c>
      <c r="F135" s="23">
        <f t="shared" si="51"/>
        <v>3.6923352725922162E-2</v>
      </c>
      <c r="G135" s="23">
        <f t="shared" si="51"/>
        <v>0</v>
      </c>
      <c r="H135" s="23">
        <f t="shared" si="51"/>
        <v>0</v>
      </c>
      <c r="I135" s="23">
        <f t="shared" si="51"/>
        <v>0</v>
      </c>
      <c r="J135" s="23">
        <f t="shared" si="51"/>
        <v>0</v>
      </c>
      <c r="K135" s="23">
        <f t="shared" si="51"/>
        <v>0</v>
      </c>
      <c r="L135" s="23">
        <f t="shared" si="51"/>
        <v>0</v>
      </c>
      <c r="M135" s="23">
        <f t="shared" si="51"/>
        <v>0</v>
      </c>
      <c r="N135" s="23">
        <f t="shared" si="51"/>
        <v>1.3912683418728196E-5</v>
      </c>
      <c r="O135" s="23">
        <f t="shared" si="51"/>
        <v>0</v>
      </c>
      <c r="P135" s="26"/>
      <c r="Q135" s="7">
        <f t="shared" si="52"/>
        <v>1.3912683418728196E-5</v>
      </c>
      <c r="R135" s="7">
        <f t="shared" si="52"/>
        <v>0</v>
      </c>
      <c r="T135" s="8">
        <f t="shared" si="53"/>
        <v>1</v>
      </c>
    </row>
    <row r="136" spans="2:20" ht="15" x14ac:dyDescent="0.25">
      <c r="B136" s="3">
        <v>2050</v>
      </c>
      <c r="C136" s="23">
        <f t="shared" si="51"/>
        <v>0.76276887521525261</v>
      </c>
      <c r="D136" s="23">
        <f t="shared" si="51"/>
        <v>0</v>
      </c>
      <c r="E136" s="23">
        <f t="shared" si="51"/>
        <v>0.14898952358273582</v>
      </c>
      <c r="F136" s="23">
        <f t="shared" si="51"/>
        <v>8.8218570487276937E-2</v>
      </c>
      <c r="G136" s="23">
        <f t="shared" si="51"/>
        <v>0</v>
      </c>
      <c r="H136" s="23">
        <f t="shared" si="51"/>
        <v>0</v>
      </c>
      <c r="I136" s="23">
        <f t="shared" si="51"/>
        <v>0</v>
      </c>
      <c r="J136" s="23">
        <f t="shared" si="51"/>
        <v>0</v>
      </c>
      <c r="K136" s="23">
        <f t="shared" si="51"/>
        <v>0</v>
      </c>
      <c r="L136" s="23">
        <f t="shared" si="51"/>
        <v>0</v>
      </c>
      <c r="M136" s="23">
        <f t="shared" si="51"/>
        <v>0</v>
      </c>
      <c r="N136" s="23">
        <f t="shared" si="51"/>
        <v>2.3030714734684731E-5</v>
      </c>
      <c r="O136" s="23">
        <f t="shared" si="51"/>
        <v>0</v>
      </c>
      <c r="P136" s="26"/>
      <c r="Q136" s="7">
        <f t="shared" si="52"/>
        <v>2.3030714734684731E-5</v>
      </c>
      <c r="R136" s="7">
        <f t="shared" si="52"/>
        <v>0</v>
      </c>
      <c r="T136" s="8">
        <f t="shared" si="53"/>
        <v>1</v>
      </c>
    </row>
    <row r="137" spans="2:20" s="11" customFormat="1" ht="15" x14ac:dyDescent="0.25">
      <c r="C137" s="12"/>
      <c r="D137" s="12"/>
      <c r="E137" s="14"/>
      <c r="F137" s="14"/>
      <c r="G137" s="14"/>
      <c r="H137" s="16"/>
      <c r="I137" s="14"/>
      <c r="J137" s="14"/>
      <c r="K137" s="16"/>
      <c r="L137" s="14"/>
      <c r="M137" s="16"/>
      <c r="N137" s="20"/>
      <c r="O137" s="20"/>
      <c r="P137" s="20"/>
    </row>
    <row r="138" spans="2:20" s="9" customFormat="1" ht="21" x14ac:dyDescent="0.35">
      <c r="B138" s="10" t="s">
        <v>44</v>
      </c>
    </row>
    <row r="139" spans="2:20" s="32" customFormat="1" ht="21" x14ac:dyDescent="0.35">
      <c r="B139" s="31"/>
      <c r="P139" s="58"/>
    </row>
    <row r="140" spans="2:20" ht="30" x14ac:dyDescent="0.25">
      <c r="B140" s="43" t="s">
        <v>76</v>
      </c>
      <c r="C140" s="43" t="s">
        <v>0</v>
      </c>
      <c r="D140" s="43" t="s">
        <v>1</v>
      </c>
      <c r="E140" s="43" t="s">
        <v>28</v>
      </c>
      <c r="F140" s="2" t="s">
        <v>29</v>
      </c>
      <c r="G140" s="2" t="s">
        <v>6</v>
      </c>
      <c r="H140" s="43" t="s">
        <v>2</v>
      </c>
      <c r="I140" s="43" t="s">
        <v>3</v>
      </c>
      <c r="J140" s="43" t="s">
        <v>4</v>
      </c>
      <c r="K140" s="43" t="s">
        <v>9</v>
      </c>
      <c r="L140" s="43" t="s">
        <v>8</v>
      </c>
      <c r="M140" s="43" t="s">
        <v>25</v>
      </c>
      <c r="N140" s="43" t="s">
        <v>7</v>
      </c>
      <c r="O140" s="43" t="s">
        <v>89</v>
      </c>
      <c r="P140" s="25"/>
      <c r="Q140" s="43" t="s">
        <v>5</v>
      </c>
      <c r="R140" s="43" t="s">
        <v>91</v>
      </c>
      <c r="T140" s="43" t="s">
        <v>10</v>
      </c>
    </row>
    <row r="141" spans="2:20" ht="15" x14ac:dyDescent="0.25">
      <c r="B141" s="3">
        <v>2016</v>
      </c>
      <c r="C141" s="51">
        <f>Inputs_Summary!E$16*C34/1000000</f>
        <v>280.52467826386066</v>
      </c>
      <c r="D141" s="51">
        <f>Inputs_Summary!F$16*D34/1000000</f>
        <v>0</v>
      </c>
      <c r="E141" s="51">
        <f>Inputs_Summary!G$16*E34/1000000</f>
        <v>1.4970319768567157E-2</v>
      </c>
      <c r="F141" s="51">
        <f>Inputs_Summary!H$16*F34/1000000</f>
        <v>0</v>
      </c>
      <c r="G141" s="51">
        <f>Inputs_Summary!I$16*G34/1000000</f>
        <v>0</v>
      </c>
      <c r="H141" s="51">
        <f>Inputs_Summary!J$16*H34/1000000</f>
        <v>0</v>
      </c>
      <c r="I141" s="51">
        <f>Inputs_Summary!K$16*I34/1000000</f>
        <v>6.6213594050410038E-2</v>
      </c>
      <c r="J141" s="51">
        <f>Inputs_Summary!L$16*J34/1000000</f>
        <v>0</v>
      </c>
      <c r="K141" s="51">
        <f>Inputs_Summary!M$16*K34/1000000</f>
        <v>0</v>
      </c>
      <c r="L141" s="51">
        <f>Inputs_Summary!N$16*L34/1000000</f>
        <v>0.35950778379036846</v>
      </c>
      <c r="M141" s="51">
        <f>Inputs_Summary!O$16*M34/1000000</f>
        <v>0</v>
      </c>
      <c r="N141" s="51">
        <f>Inputs_Summary!P$16*N34/1000000</f>
        <v>5.9887859519957903E-4</v>
      </c>
      <c r="O141" s="51">
        <f>Inputs_Summary!R$16*O34/1000000</f>
        <v>0</v>
      </c>
      <c r="P141" s="97"/>
      <c r="Q141" s="39">
        <f>G141+N141</f>
        <v>5.9887859519957903E-4</v>
      </c>
      <c r="R141" s="5">
        <f>SUM(K141:L141)</f>
        <v>0.35950778379036846</v>
      </c>
      <c r="T141" s="5">
        <f>SUM(C141:O141)</f>
        <v>280.96596884006522</v>
      </c>
    </row>
    <row r="142" spans="2:20" ht="15" x14ac:dyDescent="0.25">
      <c r="B142" s="3">
        <v>2030</v>
      </c>
      <c r="C142" s="51">
        <f>Inputs_Summary!E$16*C35/1000000</f>
        <v>177.81668183701368</v>
      </c>
      <c r="D142" s="51">
        <f>Inputs_Summary!F$16*D35/1000000</f>
        <v>0</v>
      </c>
      <c r="E142" s="51">
        <f>Inputs_Summary!G$16*E35/1000000</f>
        <v>4.4393578677618818E-2</v>
      </c>
      <c r="F142" s="51">
        <f>Inputs_Summary!H$16*F35/1000000</f>
        <v>0</v>
      </c>
      <c r="G142" s="51">
        <f>Inputs_Summary!I$16*G35/1000000</f>
        <v>0</v>
      </c>
      <c r="H142" s="51">
        <f>Inputs_Summary!J$16*H35/1000000</f>
        <v>0</v>
      </c>
      <c r="I142" s="51">
        <f>Inputs_Summary!K$16*I35/1000000</f>
        <v>6.7160991630003913E-2</v>
      </c>
      <c r="J142" s="51">
        <f>Inputs_Summary!L$16*J35/1000000</f>
        <v>0</v>
      </c>
      <c r="K142" s="51">
        <f>Inputs_Summary!M$16*K35/1000000</f>
        <v>0</v>
      </c>
      <c r="L142" s="51">
        <f>Inputs_Summary!N$16*L35/1000000</f>
        <v>0.35335209329612116</v>
      </c>
      <c r="M142" s="51">
        <f>Inputs_Summary!O$16*M35/1000000</f>
        <v>0</v>
      </c>
      <c r="N142" s="51">
        <f>Inputs_Summary!P$16*N35/1000000</f>
        <v>2.2543406971796577E-4</v>
      </c>
      <c r="O142" s="51">
        <f>Inputs_Summary!R$16*O35/1000000</f>
        <v>0</v>
      </c>
      <c r="P142" s="97"/>
      <c r="Q142" s="39">
        <f>G142+N142</f>
        <v>2.2543406971796577E-4</v>
      </c>
      <c r="R142" s="5">
        <f>SUM(K142:L142)</f>
        <v>0.35335209329612116</v>
      </c>
      <c r="T142" s="5">
        <f t="shared" ref="T142:T144" si="54">SUM(C142:O142)</f>
        <v>178.28181393468711</v>
      </c>
    </row>
    <row r="143" spans="2:20" ht="15" x14ac:dyDescent="0.25">
      <c r="B143" s="3">
        <v>2040</v>
      </c>
      <c r="C143" s="51">
        <f>Inputs_Summary!E$16*C36/1000000</f>
        <v>40.284965216967159</v>
      </c>
      <c r="D143" s="51">
        <f>Inputs_Summary!F$16*D36/1000000</f>
        <v>0</v>
      </c>
      <c r="E143" s="51">
        <f>Inputs_Summary!G$16*E36/1000000</f>
        <v>4.4983238696801937E-2</v>
      </c>
      <c r="F143" s="51">
        <f>Inputs_Summary!H$16*F36/1000000</f>
        <v>0</v>
      </c>
      <c r="G143" s="51">
        <f>Inputs_Summary!I$16*G36/1000000</f>
        <v>0</v>
      </c>
      <c r="H143" s="51">
        <f>Inputs_Summary!J$16*H36/1000000</f>
        <v>0</v>
      </c>
      <c r="I143" s="51">
        <f>Inputs_Summary!K$16*I36/1000000</f>
        <v>6.7734587647302419E-2</v>
      </c>
      <c r="J143" s="51">
        <f>Inputs_Summary!L$16*J36/1000000</f>
        <v>0</v>
      </c>
      <c r="K143" s="51">
        <f>Inputs_Summary!M$16*K36/1000000</f>
        <v>0</v>
      </c>
      <c r="L143" s="51">
        <f>Inputs_Summary!N$16*L36/1000000</f>
        <v>0.35771877135566693</v>
      </c>
      <c r="M143" s="51">
        <f>Inputs_Summary!O$16*M36/1000000</f>
        <v>0</v>
      </c>
      <c r="N143" s="51">
        <f>Inputs_Summary!P$16*N36/1000000</f>
        <v>5.5280422658771143E-4</v>
      </c>
      <c r="O143" s="51">
        <f>Inputs_Summary!R$16*O36/1000000</f>
        <v>0</v>
      </c>
      <c r="P143" s="97"/>
      <c r="Q143" s="39">
        <f>G143+N143</f>
        <v>5.5280422658771143E-4</v>
      </c>
      <c r="R143" s="5">
        <f>SUM(K143:L143)</f>
        <v>0.35771877135566693</v>
      </c>
      <c r="T143" s="5">
        <f t="shared" si="54"/>
        <v>40.755954618893512</v>
      </c>
    </row>
    <row r="144" spans="2:20" ht="15" x14ac:dyDescent="0.25">
      <c r="B144" s="3">
        <v>2050</v>
      </c>
      <c r="C144" s="51">
        <f>Inputs_Summary!E$16*C37/1000000</f>
        <v>0</v>
      </c>
      <c r="D144" s="51">
        <f>Inputs_Summary!F$16*D37/1000000</f>
        <v>0</v>
      </c>
      <c r="E144" s="51">
        <f>Inputs_Summary!G$16*E37/1000000</f>
        <v>4.4314513250083822E-2</v>
      </c>
      <c r="F144" s="51">
        <f>Inputs_Summary!H$16*F37/1000000</f>
        <v>0</v>
      </c>
      <c r="G144" s="51">
        <f>Inputs_Summary!I$16*G37/1000000</f>
        <v>0</v>
      </c>
      <c r="H144" s="51">
        <f>Inputs_Summary!J$16*H37/1000000</f>
        <v>0</v>
      </c>
      <c r="I144" s="51">
        <f>Inputs_Summary!K$16*I37/1000000</f>
        <v>0</v>
      </c>
      <c r="J144" s="51">
        <f>Inputs_Summary!L$16*J37/1000000</f>
        <v>0</v>
      </c>
      <c r="K144" s="51">
        <f>Inputs_Summary!M$16*K37/1000000</f>
        <v>0</v>
      </c>
      <c r="L144" s="51">
        <f>Inputs_Summary!N$16*L37/1000000</f>
        <v>0.3620348825608074</v>
      </c>
      <c r="M144" s="51">
        <f>Inputs_Summary!O$16*M37/1000000</f>
        <v>0</v>
      </c>
      <c r="N144" s="51">
        <f>Inputs_Summary!P$16*N37/1000000</f>
        <v>6.1881259286937051E-4</v>
      </c>
      <c r="O144" s="51">
        <f>Inputs_Summary!R$16*O37/1000000</f>
        <v>0</v>
      </c>
      <c r="P144" s="97"/>
      <c r="Q144" s="39">
        <f>G144+N144</f>
        <v>6.1881259286937051E-4</v>
      </c>
      <c r="R144" s="5">
        <f>SUM(K144:L144)</f>
        <v>0.3620348825608074</v>
      </c>
      <c r="T144" s="5">
        <f t="shared" si="54"/>
        <v>0.40696820840376063</v>
      </c>
    </row>
    <row r="145" spans="2:20" ht="15" x14ac:dyDescent="0.25"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28"/>
      <c r="Q145" s="5"/>
      <c r="R145" s="5"/>
      <c r="S145" s="5"/>
      <c r="T145" s="5"/>
    </row>
    <row r="146" spans="2:20" ht="30" x14ac:dyDescent="0.25">
      <c r="B146" s="43" t="s">
        <v>77</v>
      </c>
      <c r="C146" s="43" t="s">
        <v>0</v>
      </c>
      <c r="D146" s="43" t="s">
        <v>1</v>
      </c>
      <c r="E146" s="43" t="s">
        <v>28</v>
      </c>
      <c r="F146" s="2" t="s">
        <v>29</v>
      </c>
      <c r="G146" s="2" t="s">
        <v>6</v>
      </c>
      <c r="H146" s="43" t="s">
        <v>2</v>
      </c>
      <c r="I146" s="43" t="s">
        <v>3</v>
      </c>
      <c r="J146" s="43" t="s">
        <v>4</v>
      </c>
      <c r="K146" s="43" t="s">
        <v>9</v>
      </c>
      <c r="L146" s="43" t="s">
        <v>8</v>
      </c>
      <c r="M146" s="43" t="s">
        <v>25</v>
      </c>
      <c r="N146" s="43" t="s">
        <v>7</v>
      </c>
      <c r="O146" s="43" t="s">
        <v>89</v>
      </c>
      <c r="P146" s="25"/>
      <c r="Q146" s="43" t="s">
        <v>5</v>
      </c>
      <c r="R146" s="43" t="s">
        <v>91</v>
      </c>
      <c r="T146" s="43" t="s">
        <v>10</v>
      </c>
    </row>
    <row r="147" spans="2:20" ht="15" x14ac:dyDescent="0.25">
      <c r="B147" s="3">
        <v>2016</v>
      </c>
      <c r="C147" s="51">
        <f>Inputs_Summary!E$19*C40/1000000</f>
        <v>0</v>
      </c>
      <c r="D147" s="51">
        <f>Inputs_Summary!F$19*D40/1000000</f>
        <v>0</v>
      </c>
      <c r="E147" s="51">
        <f>Inputs_Summary!G$19*E40/1000000</f>
        <v>0</v>
      </c>
      <c r="F147" s="51">
        <f>Inputs_Summary!H$19*F40/1000000</f>
        <v>0</v>
      </c>
      <c r="G147" s="51">
        <f>Inputs_Summary!I$19*G40/1000000</f>
        <v>0</v>
      </c>
      <c r="H147" s="51">
        <f>Inputs_Summary!J$19*H40/1000000</f>
        <v>0</v>
      </c>
      <c r="I147" s="51">
        <f>Inputs_Summary!K$19*I40/1000000</f>
        <v>0</v>
      </c>
      <c r="J147" s="51">
        <f>Inputs_Summary!L$19*J40/1000000</f>
        <v>0</v>
      </c>
      <c r="K147" s="51">
        <f>Inputs_Summary!M$19*K40/1000000</f>
        <v>0</v>
      </c>
      <c r="L147" s="51">
        <f>Inputs_Summary!N$19*L40/1000000</f>
        <v>0</v>
      </c>
      <c r="M147" s="51">
        <f>Inputs_Summary!O$19*M40/1000000</f>
        <v>0</v>
      </c>
      <c r="N147" s="51">
        <f>Inputs_Summary!P$19*N40/1000000</f>
        <v>0</v>
      </c>
      <c r="O147" s="51">
        <f>Inputs_Summary!R$19*O40/1000000</f>
        <v>0</v>
      </c>
      <c r="P147" s="97"/>
      <c r="Q147" s="39">
        <f>G147+N147</f>
        <v>0</v>
      </c>
      <c r="R147" s="5">
        <f>SUM(K147:L147)</f>
        <v>0</v>
      </c>
      <c r="T147" s="5">
        <f>SUM(C147:O147)</f>
        <v>0</v>
      </c>
    </row>
    <row r="148" spans="2:20" ht="15" x14ac:dyDescent="0.25">
      <c r="B148" s="3">
        <v>2030</v>
      </c>
      <c r="C148" s="51">
        <f>Inputs_Summary!E$19*C41/1000000</f>
        <v>16.895950984607111</v>
      </c>
      <c r="D148" s="51">
        <f>Inputs_Summary!F$19*D41/1000000</f>
        <v>0</v>
      </c>
      <c r="E148" s="51">
        <f>Inputs_Summary!G$19*E41/1000000</f>
        <v>0</v>
      </c>
      <c r="F148" s="51">
        <f>Inputs_Summary!H$19*F41/1000000</f>
        <v>0</v>
      </c>
      <c r="G148" s="51">
        <f>Inputs_Summary!I$19*G41/1000000</f>
        <v>0</v>
      </c>
      <c r="H148" s="51">
        <f>Inputs_Summary!J$19*H41/1000000</f>
        <v>0</v>
      </c>
      <c r="I148" s="51">
        <f>Inputs_Summary!K$19*I41/1000000</f>
        <v>0.33751866510534168</v>
      </c>
      <c r="J148" s="51">
        <f>Inputs_Summary!L$19*J41/1000000</f>
        <v>0</v>
      </c>
      <c r="K148" s="51">
        <f>Inputs_Summary!M$19*K41/1000000</f>
        <v>0</v>
      </c>
      <c r="L148" s="51">
        <f>Inputs_Summary!N$19*L41/1000000</f>
        <v>0.23271222395976526</v>
      </c>
      <c r="M148" s="51">
        <f>Inputs_Summary!O$19*M41/1000000</f>
        <v>0</v>
      </c>
      <c r="N148" s="51">
        <f>Inputs_Summary!P$19*N41/1000000</f>
        <v>3.2132005412289241E-4</v>
      </c>
      <c r="O148" s="51">
        <f>Inputs_Summary!R$19*O41/1000000</f>
        <v>0</v>
      </c>
      <c r="P148" s="97"/>
      <c r="Q148" s="39">
        <f>G148+N148</f>
        <v>3.2132005412289241E-4</v>
      </c>
      <c r="R148" s="5">
        <f>SUM(K148:L148)</f>
        <v>0.23271222395976526</v>
      </c>
      <c r="T148" s="5">
        <f t="shared" ref="T148:T150" si="55">SUM(C148:O148)</f>
        <v>17.466503193726343</v>
      </c>
    </row>
    <row r="149" spans="2:20" ht="15" x14ac:dyDescent="0.25">
      <c r="B149" s="3">
        <v>2040</v>
      </c>
      <c r="C149" s="51">
        <f>Inputs_Summary!E$19*C42/1000000</f>
        <v>12.926383737066192</v>
      </c>
      <c r="D149" s="51">
        <f>Inputs_Summary!F$19*D42/1000000</f>
        <v>0</v>
      </c>
      <c r="E149" s="51">
        <f>Inputs_Summary!G$19*E42/1000000</f>
        <v>0</v>
      </c>
      <c r="F149" s="51">
        <f>Inputs_Summary!H$19*F42/1000000</f>
        <v>0</v>
      </c>
      <c r="G149" s="51">
        <f>Inputs_Summary!I$19*G42/1000000</f>
        <v>0</v>
      </c>
      <c r="H149" s="51">
        <f>Inputs_Summary!J$19*H42/1000000</f>
        <v>0</v>
      </c>
      <c r="I149" s="51">
        <f>Inputs_Summary!K$19*I42/1000000</f>
        <v>0.33875328768805107</v>
      </c>
      <c r="J149" s="51">
        <f>Inputs_Summary!L$19*J42/1000000</f>
        <v>0</v>
      </c>
      <c r="K149" s="51">
        <f>Inputs_Summary!M$19*K42/1000000</f>
        <v>0</v>
      </c>
      <c r="L149" s="51">
        <f>Inputs_Summary!N$19*L42/1000000</f>
        <v>0.23346336639146137</v>
      </c>
      <c r="M149" s="51">
        <f>Inputs_Summary!O$19*M42/1000000</f>
        <v>0</v>
      </c>
      <c r="N149" s="51">
        <f>Inputs_Summary!P$19*N42/1000000</f>
        <v>5.5842868819543524E-4</v>
      </c>
      <c r="O149" s="51">
        <f>Inputs_Summary!R$19*O42/1000000</f>
        <v>0</v>
      </c>
      <c r="P149" s="97"/>
      <c r="Q149" s="39">
        <f>G149+N149</f>
        <v>5.5842868819543524E-4</v>
      </c>
      <c r="R149" s="5">
        <f>SUM(K149:L149)</f>
        <v>0.23346336639146137</v>
      </c>
      <c r="T149" s="5">
        <f t="shared" si="55"/>
        <v>13.499158819833902</v>
      </c>
    </row>
    <row r="150" spans="2:20" ht="15" x14ac:dyDescent="0.25">
      <c r="B150" s="3">
        <v>2050</v>
      </c>
      <c r="C150" s="51">
        <f>Inputs_Summary!E$19*C43/1000000</f>
        <v>10.826256588584977</v>
      </c>
      <c r="D150" s="51">
        <f>Inputs_Summary!F$19*D43/1000000</f>
        <v>0</v>
      </c>
      <c r="E150" s="51">
        <f>Inputs_Summary!G$19*E43/1000000</f>
        <v>0</v>
      </c>
      <c r="F150" s="51">
        <f>Inputs_Summary!H$19*F43/1000000</f>
        <v>0</v>
      </c>
      <c r="G150" s="51">
        <f>Inputs_Summary!I$19*G43/1000000</f>
        <v>0</v>
      </c>
      <c r="H150" s="51">
        <f>Inputs_Summary!J$19*H43/1000000</f>
        <v>0</v>
      </c>
      <c r="I150" s="51">
        <f>Inputs_Summary!K$19*I43/1000000</f>
        <v>0</v>
      </c>
      <c r="J150" s="51">
        <f>Inputs_Summary!L$19*J43/1000000</f>
        <v>0</v>
      </c>
      <c r="K150" s="51">
        <f>Inputs_Summary!M$19*K43/1000000</f>
        <v>0</v>
      </c>
      <c r="L150" s="51">
        <f>Inputs_Summary!N$19*L43/1000000</f>
        <v>0</v>
      </c>
      <c r="M150" s="51">
        <f>Inputs_Summary!O$19*M43/1000000</f>
        <v>0</v>
      </c>
      <c r="N150" s="51">
        <f>Inputs_Summary!P$19*N43/1000000</f>
        <v>5.8990753096560392E-4</v>
      </c>
      <c r="O150" s="51">
        <f>Inputs_Summary!R$19*O43/1000000</f>
        <v>0</v>
      </c>
      <c r="P150" s="97"/>
      <c r="Q150" s="39">
        <f>G150+N150</f>
        <v>5.8990753096560392E-4</v>
      </c>
      <c r="R150" s="5">
        <f>SUM(K150:L150)</f>
        <v>0</v>
      </c>
      <c r="T150" s="5">
        <f t="shared" si="55"/>
        <v>10.826846496115943</v>
      </c>
    </row>
    <row r="151" spans="2:20" ht="15" x14ac:dyDescent="0.25"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28"/>
      <c r="Q151" s="5"/>
      <c r="R151" s="5"/>
      <c r="S151" s="5"/>
      <c r="T151" s="5"/>
    </row>
    <row r="152" spans="2:20" ht="30" x14ac:dyDescent="0.25">
      <c r="B152" s="43" t="s">
        <v>78</v>
      </c>
      <c r="C152" s="43" t="s">
        <v>0</v>
      </c>
      <c r="D152" s="43" t="s">
        <v>1</v>
      </c>
      <c r="E152" s="43" t="s">
        <v>28</v>
      </c>
      <c r="F152" s="2" t="s">
        <v>29</v>
      </c>
      <c r="G152" s="2" t="s">
        <v>6</v>
      </c>
      <c r="H152" s="43" t="s">
        <v>2</v>
      </c>
      <c r="I152" s="43" t="s">
        <v>3</v>
      </c>
      <c r="J152" s="43" t="s">
        <v>4</v>
      </c>
      <c r="K152" s="43" t="s">
        <v>9</v>
      </c>
      <c r="L152" s="43" t="s">
        <v>8</v>
      </c>
      <c r="M152" s="43" t="s">
        <v>25</v>
      </c>
      <c r="N152" s="43" t="s">
        <v>7</v>
      </c>
      <c r="O152" s="43" t="s">
        <v>89</v>
      </c>
      <c r="P152" s="25"/>
      <c r="Q152" s="43" t="s">
        <v>5</v>
      </c>
      <c r="R152" s="43" t="s">
        <v>91</v>
      </c>
      <c r="T152" s="43" t="s">
        <v>10</v>
      </c>
    </row>
    <row r="153" spans="2:20" ht="15" x14ac:dyDescent="0.25">
      <c r="B153" s="3">
        <v>2016</v>
      </c>
      <c r="C153" s="51">
        <f>Inputs_Summary!E$22*C46/1000000</f>
        <v>0</v>
      </c>
      <c r="D153" s="51">
        <f>Inputs_Summary!F$22*D46/1000000</f>
        <v>0</v>
      </c>
      <c r="E153" s="51">
        <f>Inputs_Summary!G$22*E46/1000000</f>
        <v>0</v>
      </c>
      <c r="F153" s="51">
        <f>Inputs_Summary!H$22*F46/1000000</f>
        <v>0</v>
      </c>
      <c r="G153" s="51">
        <f>Inputs_Summary!I$22*G46/1000000</f>
        <v>0</v>
      </c>
      <c r="H153" s="51">
        <f>Inputs_Summary!J$22*H46/1000000</f>
        <v>0</v>
      </c>
      <c r="I153" s="51">
        <f>Inputs_Summary!K$22*I46/1000000</f>
        <v>0</v>
      </c>
      <c r="J153" s="51">
        <f>Inputs_Summary!L$22*J46/1000000</f>
        <v>0</v>
      </c>
      <c r="K153" s="51">
        <f>Inputs_Summary!M$22*K46/1000000</f>
        <v>0</v>
      </c>
      <c r="L153" s="51">
        <f>Inputs_Summary!N$22*L46/1000000</f>
        <v>0</v>
      </c>
      <c r="M153" s="51">
        <f>Inputs_Summary!O$22*M46/1000000</f>
        <v>0</v>
      </c>
      <c r="N153" s="51">
        <f>Inputs_Summary!P$22*N46/1000000</f>
        <v>0</v>
      </c>
      <c r="O153" s="51">
        <f>Inputs_Summary!R$22*O46/1000000</f>
        <v>0</v>
      </c>
      <c r="P153" s="97"/>
      <c r="Q153" s="39">
        <f>G153+N153</f>
        <v>0</v>
      </c>
      <c r="R153" s="5">
        <f>SUM(K153:L153)</f>
        <v>0</v>
      </c>
      <c r="T153" s="5">
        <f>SUM(C153:O153)</f>
        <v>0</v>
      </c>
    </row>
    <row r="154" spans="2:20" ht="15" x14ac:dyDescent="0.25">
      <c r="B154" s="3">
        <v>2030</v>
      </c>
      <c r="C154" s="51">
        <f>Inputs_Summary!E$22*C47/1000000</f>
        <v>0</v>
      </c>
      <c r="D154" s="51">
        <f>Inputs_Summary!F$22*D47/1000000</f>
        <v>0</v>
      </c>
      <c r="E154" s="51">
        <f>Inputs_Summary!G$22*E47/1000000</f>
        <v>0</v>
      </c>
      <c r="F154" s="51">
        <f>Inputs_Summary!H$22*F47/1000000</f>
        <v>0</v>
      </c>
      <c r="G154" s="51">
        <f>Inputs_Summary!I$22*G47/1000000</f>
        <v>0</v>
      </c>
      <c r="H154" s="51">
        <f>Inputs_Summary!J$22*H47/1000000</f>
        <v>0</v>
      </c>
      <c r="I154" s="51">
        <f>Inputs_Summary!K$22*I47/1000000</f>
        <v>0</v>
      </c>
      <c r="J154" s="51">
        <f>Inputs_Summary!L$22*J47/1000000</f>
        <v>0</v>
      </c>
      <c r="K154" s="51">
        <f>Inputs_Summary!M$22*K47/1000000</f>
        <v>0</v>
      </c>
      <c r="L154" s="51">
        <f>Inputs_Summary!N$22*L47/1000000</f>
        <v>0</v>
      </c>
      <c r="M154" s="51">
        <f>Inputs_Summary!O$22*M47/1000000</f>
        <v>0</v>
      </c>
      <c r="N154" s="51">
        <f>Inputs_Summary!P$22*N47/1000000</f>
        <v>9.6294009870479498E-5</v>
      </c>
      <c r="O154" s="51">
        <f>Inputs_Summary!R$22*O47/1000000</f>
        <v>0</v>
      </c>
      <c r="P154" s="97"/>
      <c r="Q154" s="39">
        <f>G154+N154</f>
        <v>9.6294009870479498E-5</v>
      </c>
      <c r="R154" s="5">
        <f>SUM(K154:L154)</f>
        <v>0</v>
      </c>
      <c r="T154" s="5">
        <f t="shared" ref="T154:T156" si="56">SUM(C154:O154)</f>
        <v>9.6294009870479498E-5</v>
      </c>
    </row>
    <row r="155" spans="2:20" ht="15" x14ac:dyDescent="0.25">
      <c r="B155" s="3">
        <v>2040</v>
      </c>
      <c r="C155" s="51">
        <f>Inputs_Summary!E$22*C48/1000000</f>
        <v>0</v>
      </c>
      <c r="D155" s="51">
        <f>Inputs_Summary!F$22*D48/1000000</f>
        <v>0</v>
      </c>
      <c r="E155" s="51">
        <f>Inputs_Summary!G$22*E48/1000000</f>
        <v>0.13449232683752055</v>
      </c>
      <c r="F155" s="51">
        <f>Inputs_Summary!H$22*F48/1000000</f>
        <v>0</v>
      </c>
      <c r="G155" s="51">
        <f>Inputs_Summary!I$22*G48/1000000</f>
        <v>0</v>
      </c>
      <c r="H155" s="51">
        <f>Inputs_Summary!J$22*H48/1000000</f>
        <v>0</v>
      </c>
      <c r="I155" s="51">
        <f>Inputs_Summary!K$22*I48/1000000</f>
        <v>0</v>
      </c>
      <c r="J155" s="51">
        <f>Inputs_Summary!L$22*J48/1000000</f>
        <v>0</v>
      </c>
      <c r="K155" s="51">
        <f>Inputs_Summary!M$22*K48/1000000</f>
        <v>0</v>
      </c>
      <c r="L155" s="51">
        <f>Inputs_Summary!N$22*L48/1000000</f>
        <v>0</v>
      </c>
      <c r="M155" s="51">
        <f>Inputs_Summary!O$22*M48/1000000</f>
        <v>0</v>
      </c>
      <c r="N155" s="51">
        <f>Inputs_Summary!P$22*N48/1000000</f>
        <v>1.6150239759321221E-4</v>
      </c>
      <c r="O155" s="51">
        <f>Inputs_Summary!R$22*O48/1000000</f>
        <v>0</v>
      </c>
      <c r="P155" s="97"/>
      <c r="Q155" s="39">
        <f>G155+N155</f>
        <v>1.6150239759321221E-4</v>
      </c>
      <c r="R155" s="5">
        <f>SUM(K155:L155)</f>
        <v>0</v>
      </c>
      <c r="T155" s="5">
        <f t="shared" si="56"/>
        <v>0.13465382923511376</v>
      </c>
    </row>
    <row r="156" spans="2:20" ht="15" x14ac:dyDescent="0.25">
      <c r="B156" s="3">
        <v>2050</v>
      </c>
      <c r="C156" s="51">
        <f>Inputs_Summary!E$22*C49/1000000</f>
        <v>0</v>
      </c>
      <c r="D156" s="51">
        <f>Inputs_Summary!F$22*D49/1000000</f>
        <v>0</v>
      </c>
      <c r="E156" s="51">
        <f>Inputs_Summary!G$22*E49/1000000</f>
        <v>0.43758314720887687</v>
      </c>
      <c r="F156" s="51">
        <f>Inputs_Summary!H$22*F49/1000000</f>
        <v>0</v>
      </c>
      <c r="G156" s="51">
        <f>Inputs_Summary!I$22*G49/1000000</f>
        <v>0</v>
      </c>
      <c r="H156" s="51">
        <f>Inputs_Summary!J$22*H49/1000000</f>
        <v>0</v>
      </c>
      <c r="I156" s="51">
        <f>Inputs_Summary!K$22*I49/1000000</f>
        <v>0</v>
      </c>
      <c r="J156" s="51">
        <f>Inputs_Summary!L$22*J49/1000000</f>
        <v>0</v>
      </c>
      <c r="K156" s="51">
        <f>Inputs_Summary!M$22*K49/1000000</f>
        <v>0</v>
      </c>
      <c r="L156" s="51">
        <f>Inputs_Summary!N$22*L49/1000000</f>
        <v>0</v>
      </c>
      <c r="M156" s="51">
        <f>Inputs_Summary!O$22*M49/1000000</f>
        <v>0</v>
      </c>
      <c r="N156" s="51">
        <f>Inputs_Summary!P$22*N49/1000000</f>
        <v>1.7200547400480858E-4</v>
      </c>
      <c r="O156" s="51">
        <f>Inputs_Summary!R$22*O49/1000000</f>
        <v>0</v>
      </c>
      <c r="P156" s="97"/>
      <c r="Q156" s="39">
        <f>G156+N156</f>
        <v>1.7200547400480858E-4</v>
      </c>
      <c r="R156" s="5">
        <f>SUM(K156:L156)</f>
        <v>0</v>
      </c>
      <c r="T156" s="5">
        <f t="shared" si="56"/>
        <v>0.43775515268288168</v>
      </c>
    </row>
    <row r="157" spans="2:20" ht="15" x14ac:dyDescent="0.25"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28"/>
    </row>
    <row r="158" spans="2:20" ht="30" x14ac:dyDescent="0.25">
      <c r="B158" s="43" t="s">
        <v>79</v>
      </c>
      <c r="C158" s="43" t="s">
        <v>0</v>
      </c>
      <c r="D158" s="43" t="s">
        <v>1</v>
      </c>
      <c r="E158" s="43" t="s">
        <v>28</v>
      </c>
      <c r="F158" s="2" t="s">
        <v>29</v>
      </c>
      <c r="G158" s="2" t="s">
        <v>6</v>
      </c>
      <c r="H158" s="43" t="s">
        <v>2</v>
      </c>
      <c r="I158" s="43" t="s">
        <v>3</v>
      </c>
      <c r="J158" s="43" t="s">
        <v>4</v>
      </c>
      <c r="K158" s="43" t="s">
        <v>9</v>
      </c>
      <c r="L158" s="43" t="s">
        <v>8</v>
      </c>
      <c r="M158" s="43" t="s">
        <v>25</v>
      </c>
      <c r="N158" s="43" t="s">
        <v>7</v>
      </c>
      <c r="O158" s="43" t="s">
        <v>89</v>
      </c>
      <c r="P158" s="25"/>
      <c r="Q158" s="43" t="s">
        <v>5</v>
      </c>
      <c r="R158" s="43" t="s">
        <v>91</v>
      </c>
      <c r="T158" s="43" t="s">
        <v>10</v>
      </c>
    </row>
    <row r="159" spans="2:20" ht="15" x14ac:dyDescent="0.25">
      <c r="B159" s="3">
        <v>2016</v>
      </c>
      <c r="C159" s="51">
        <f t="shared" ref="C159:O162" si="57">C141+C147+C153</f>
        <v>280.52467826386066</v>
      </c>
      <c r="D159" s="51">
        <f t="shared" si="57"/>
        <v>0</v>
      </c>
      <c r="E159" s="51">
        <f t="shared" si="57"/>
        <v>1.4970319768567157E-2</v>
      </c>
      <c r="F159" s="51">
        <f t="shared" si="57"/>
        <v>0</v>
      </c>
      <c r="G159" s="51">
        <f t="shared" si="57"/>
        <v>0</v>
      </c>
      <c r="H159" s="51">
        <f t="shared" si="57"/>
        <v>0</v>
      </c>
      <c r="I159" s="51">
        <f t="shared" si="57"/>
        <v>6.6213594050410038E-2</v>
      </c>
      <c r="J159" s="51">
        <f t="shared" si="57"/>
        <v>0</v>
      </c>
      <c r="K159" s="51">
        <f t="shared" si="57"/>
        <v>0</v>
      </c>
      <c r="L159" s="51">
        <f t="shared" si="57"/>
        <v>0.35950778379036846</v>
      </c>
      <c r="M159" s="51">
        <f t="shared" si="57"/>
        <v>0</v>
      </c>
      <c r="N159" s="51">
        <f t="shared" si="57"/>
        <v>5.9887859519957903E-4</v>
      </c>
      <c r="O159" s="51">
        <f t="shared" si="57"/>
        <v>0</v>
      </c>
      <c r="P159" s="97"/>
      <c r="Q159" s="39">
        <f>G159+N159</f>
        <v>5.9887859519957903E-4</v>
      </c>
      <c r="R159" s="5">
        <f>SUM(K159:L159)</f>
        <v>0.35950778379036846</v>
      </c>
      <c r="T159" s="5">
        <f>SUM(C159:O159)</f>
        <v>280.96596884006522</v>
      </c>
    </row>
    <row r="160" spans="2:20" ht="15" x14ac:dyDescent="0.25">
      <c r="B160" s="3">
        <v>2030</v>
      </c>
      <c r="C160" s="51">
        <f t="shared" si="57"/>
        <v>194.71263282162079</v>
      </c>
      <c r="D160" s="51">
        <f t="shared" si="57"/>
        <v>0</v>
      </c>
      <c r="E160" s="51">
        <f t="shared" si="57"/>
        <v>4.4393578677618818E-2</v>
      </c>
      <c r="F160" s="51">
        <f t="shared" si="57"/>
        <v>0</v>
      </c>
      <c r="G160" s="51">
        <f t="shared" si="57"/>
        <v>0</v>
      </c>
      <c r="H160" s="51">
        <f t="shared" si="57"/>
        <v>0</v>
      </c>
      <c r="I160" s="51">
        <f t="shared" si="57"/>
        <v>0.40467965673534556</v>
      </c>
      <c r="J160" s="51">
        <f t="shared" si="57"/>
        <v>0</v>
      </c>
      <c r="K160" s="51">
        <f t="shared" si="57"/>
        <v>0</v>
      </c>
      <c r="L160" s="51">
        <f t="shared" si="57"/>
        <v>0.58606431725588637</v>
      </c>
      <c r="M160" s="51">
        <f t="shared" si="57"/>
        <v>0</v>
      </c>
      <c r="N160" s="51">
        <f t="shared" si="57"/>
        <v>6.4304813371133759E-4</v>
      </c>
      <c r="O160" s="51">
        <f t="shared" si="57"/>
        <v>0</v>
      </c>
      <c r="P160" s="97"/>
      <c r="Q160" s="39">
        <f>G160+N160</f>
        <v>6.4304813371133759E-4</v>
      </c>
      <c r="R160" s="5">
        <f>SUM(K160:L160)</f>
        <v>0.58606431725588637</v>
      </c>
      <c r="T160" s="5">
        <f t="shared" ref="T160:T162" si="58">SUM(C160:O160)</f>
        <v>195.74841342242334</v>
      </c>
    </row>
    <row r="161" spans="2:20" ht="15" x14ac:dyDescent="0.25">
      <c r="B161" s="3">
        <v>2040</v>
      </c>
      <c r="C161" s="51">
        <f t="shared" si="57"/>
        <v>53.211348954033355</v>
      </c>
      <c r="D161" s="51">
        <f t="shared" si="57"/>
        <v>0</v>
      </c>
      <c r="E161" s="51">
        <f t="shared" si="57"/>
        <v>0.17947556553432248</v>
      </c>
      <c r="F161" s="51">
        <f t="shared" si="57"/>
        <v>0</v>
      </c>
      <c r="G161" s="51">
        <f t="shared" si="57"/>
        <v>0</v>
      </c>
      <c r="H161" s="51">
        <f t="shared" si="57"/>
        <v>0</v>
      </c>
      <c r="I161" s="51">
        <f t="shared" si="57"/>
        <v>0.40648787533535347</v>
      </c>
      <c r="J161" s="51">
        <f t="shared" si="57"/>
        <v>0</v>
      </c>
      <c r="K161" s="51">
        <f t="shared" si="57"/>
        <v>0</v>
      </c>
      <c r="L161" s="51">
        <f t="shared" si="57"/>
        <v>0.59118213774712824</v>
      </c>
      <c r="M161" s="51">
        <f t="shared" si="57"/>
        <v>0</v>
      </c>
      <c r="N161" s="51">
        <f t="shared" si="57"/>
        <v>1.2727353123763588E-3</v>
      </c>
      <c r="O161" s="51">
        <f t="shared" si="57"/>
        <v>0</v>
      </c>
      <c r="P161" s="97"/>
      <c r="Q161" s="39">
        <f>G161+N161</f>
        <v>1.2727353123763588E-3</v>
      </c>
      <c r="R161" s="5">
        <f>SUM(K161:L161)</f>
        <v>0.59118213774712824</v>
      </c>
      <c r="T161" s="5">
        <f t="shared" si="58"/>
        <v>54.389767267962533</v>
      </c>
    </row>
    <row r="162" spans="2:20" ht="15" x14ac:dyDescent="0.25">
      <c r="B162" s="3">
        <v>2050</v>
      </c>
      <c r="C162" s="51">
        <f t="shared" si="57"/>
        <v>10.826256588584977</v>
      </c>
      <c r="D162" s="51">
        <f t="shared" si="57"/>
        <v>0</v>
      </c>
      <c r="E162" s="51">
        <f t="shared" si="57"/>
        <v>0.48189766045896071</v>
      </c>
      <c r="F162" s="51">
        <f t="shared" si="57"/>
        <v>0</v>
      </c>
      <c r="G162" s="51">
        <f t="shared" si="57"/>
        <v>0</v>
      </c>
      <c r="H162" s="51">
        <f t="shared" si="57"/>
        <v>0</v>
      </c>
      <c r="I162" s="51">
        <f t="shared" si="57"/>
        <v>0</v>
      </c>
      <c r="J162" s="51">
        <f t="shared" si="57"/>
        <v>0</v>
      </c>
      <c r="K162" s="51">
        <f t="shared" si="57"/>
        <v>0</v>
      </c>
      <c r="L162" s="51">
        <f t="shared" si="57"/>
        <v>0.3620348825608074</v>
      </c>
      <c r="M162" s="51">
        <f t="shared" si="57"/>
        <v>0</v>
      </c>
      <c r="N162" s="51">
        <f t="shared" si="57"/>
        <v>1.3807255978397829E-3</v>
      </c>
      <c r="O162" s="51">
        <f t="shared" si="57"/>
        <v>0</v>
      </c>
      <c r="P162" s="97"/>
      <c r="Q162" s="39">
        <f>G162+N162</f>
        <v>1.3807255978397829E-3</v>
      </c>
      <c r="R162" s="5">
        <f>SUM(K162:L162)</f>
        <v>0.3620348825608074</v>
      </c>
      <c r="T162" s="5">
        <f t="shared" si="58"/>
        <v>11.671569857202586</v>
      </c>
    </row>
    <row r="163" spans="2:20" ht="15" x14ac:dyDescent="0.25"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28"/>
    </row>
    <row r="164" spans="2:20" ht="15" x14ac:dyDescent="0.25">
      <c r="B164" s="3">
        <v>2016</v>
      </c>
      <c r="C164" s="23">
        <f t="shared" ref="C164:O167" si="59">IFERROR(C159/$T159,0)</f>
        <v>0.99842938068967435</v>
      </c>
      <c r="D164" s="23">
        <f t="shared" si="59"/>
        <v>0</v>
      </c>
      <c r="E164" s="23">
        <f t="shared" si="59"/>
        <v>5.3281612112564208E-5</v>
      </c>
      <c r="F164" s="23">
        <f t="shared" si="59"/>
        <v>0</v>
      </c>
      <c r="G164" s="23">
        <f t="shared" si="59"/>
        <v>0</v>
      </c>
      <c r="H164" s="23">
        <f t="shared" si="59"/>
        <v>0</v>
      </c>
      <c r="I164" s="23">
        <f t="shared" si="59"/>
        <v>2.3566410666660105E-4</v>
      </c>
      <c r="J164" s="23">
        <f t="shared" si="59"/>
        <v>0</v>
      </c>
      <c r="K164" s="23">
        <f t="shared" si="59"/>
        <v>0</v>
      </c>
      <c r="L164" s="23">
        <f t="shared" si="59"/>
        <v>1.2795420928539988E-3</v>
      </c>
      <c r="M164" s="23">
        <f t="shared" si="59"/>
        <v>0</v>
      </c>
      <c r="N164" s="23">
        <f t="shared" si="59"/>
        <v>2.1314986924287611E-6</v>
      </c>
      <c r="O164" s="23">
        <f t="shared" si="59"/>
        <v>0</v>
      </c>
      <c r="P164" s="26"/>
      <c r="Q164" s="7">
        <f t="shared" ref="Q164:R167" si="60">Q159/$T159</f>
        <v>2.1314986924287611E-6</v>
      </c>
      <c r="R164" s="7">
        <f t="shared" si="60"/>
        <v>1.2795420928539988E-3</v>
      </c>
      <c r="T164" s="8">
        <f>SUM(C164:O164)</f>
        <v>1</v>
      </c>
    </row>
    <row r="165" spans="2:20" ht="15" x14ac:dyDescent="0.25">
      <c r="B165" s="3">
        <v>2030</v>
      </c>
      <c r="C165" s="23">
        <f t="shared" si="59"/>
        <v>0.9947086130472621</v>
      </c>
      <c r="D165" s="23">
        <f t="shared" si="59"/>
        <v>0</v>
      </c>
      <c r="E165" s="23">
        <f t="shared" si="59"/>
        <v>2.2678895783343015E-4</v>
      </c>
      <c r="F165" s="23">
        <f t="shared" si="59"/>
        <v>0</v>
      </c>
      <c r="G165" s="23">
        <f t="shared" si="59"/>
        <v>0</v>
      </c>
      <c r="H165" s="23">
        <f t="shared" si="59"/>
        <v>0</v>
      </c>
      <c r="I165" s="23">
        <f t="shared" si="59"/>
        <v>2.0673457815571176E-3</v>
      </c>
      <c r="J165" s="23">
        <f t="shared" si="59"/>
        <v>0</v>
      </c>
      <c r="K165" s="23">
        <f t="shared" si="59"/>
        <v>0</v>
      </c>
      <c r="L165" s="23">
        <f t="shared" si="59"/>
        <v>2.9939671387842351E-3</v>
      </c>
      <c r="M165" s="23">
        <f t="shared" si="59"/>
        <v>0</v>
      </c>
      <c r="N165" s="23">
        <f t="shared" si="59"/>
        <v>3.2850745631518627E-6</v>
      </c>
      <c r="O165" s="23">
        <f t="shared" si="59"/>
        <v>0</v>
      </c>
      <c r="P165" s="26"/>
      <c r="Q165" s="7">
        <f t="shared" si="60"/>
        <v>3.2850745631518627E-6</v>
      </c>
      <c r="R165" s="7">
        <f t="shared" si="60"/>
        <v>2.9939671387842351E-3</v>
      </c>
      <c r="T165" s="8">
        <f t="shared" ref="T165:T167" si="61">SUM(C165:O165)</f>
        <v>1</v>
      </c>
    </row>
    <row r="166" spans="2:20" ht="15" x14ac:dyDescent="0.25">
      <c r="B166" s="3">
        <v>2040</v>
      </c>
      <c r="C166" s="23">
        <f t="shared" si="59"/>
        <v>0.97833382319649476</v>
      </c>
      <c r="D166" s="23">
        <f t="shared" si="59"/>
        <v>0</v>
      </c>
      <c r="E166" s="23">
        <f t="shared" si="59"/>
        <v>3.2998038886634441E-3</v>
      </c>
      <c r="F166" s="23">
        <f t="shared" si="59"/>
        <v>0</v>
      </c>
      <c r="G166" s="23">
        <f t="shared" si="59"/>
        <v>0</v>
      </c>
      <c r="H166" s="23">
        <f t="shared" si="59"/>
        <v>0</v>
      </c>
      <c r="I166" s="23">
        <f t="shared" si="59"/>
        <v>7.4736093892938749E-3</v>
      </c>
      <c r="J166" s="23">
        <f t="shared" si="59"/>
        <v>0</v>
      </c>
      <c r="K166" s="23">
        <f t="shared" si="59"/>
        <v>0</v>
      </c>
      <c r="L166" s="23">
        <f t="shared" si="59"/>
        <v>1.0869363254204529E-2</v>
      </c>
      <c r="M166" s="23">
        <f t="shared" si="59"/>
        <v>0</v>
      </c>
      <c r="N166" s="23">
        <f t="shared" si="59"/>
        <v>2.3400271343430519E-5</v>
      </c>
      <c r="O166" s="23">
        <f t="shared" si="59"/>
        <v>0</v>
      </c>
      <c r="P166" s="26"/>
      <c r="Q166" s="7">
        <f t="shared" si="60"/>
        <v>2.3400271343430519E-5</v>
      </c>
      <c r="R166" s="7">
        <f t="shared" si="60"/>
        <v>1.0869363254204529E-2</v>
      </c>
      <c r="T166" s="8">
        <f t="shared" si="61"/>
        <v>1</v>
      </c>
    </row>
    <row r="167" spans="2:20" ht="15" x14ac:dyDescent="0.25">
      <c r="B167" s="3">
        <v>2050</v>
      </c>
      <c r="C167" s="23">
        <f t="shared" si="59"/>
        <v>0.92757501527560482</v>
      </c>
      <c r="D167" s="23">
        <f t="shared" si="59"/>
        <v>0</v>
      </c>
      <c r="E167" s="23">
        <f t="shared" si="59"/>
        <v>4.1288161434563077E-2</v>
      </c>
      <c r="F167" s="23">
        <f t="shared" si="59"/>
        <v>0</v>
      </c>
      <c r="G167" s="23">
        <f t="shared" si="59"/>
        <v>0</v>
      </c>
      <c r="H167" s="23">
        <f t="shared" si="59"/>
        <v>0</v>
      </c>
      <c r="I167" s="23">
        <f t="shared" si="59"/>
        <v>0</v>
      </c>
      <c r="J167" s="23">
        <f t="shared" si="59"/>
        <v>0</v>
      </c>
      <c r="K167" s="23">
        <f t="shared" si="59"/>
        <v>0</v>
      </c>
      <c r="L167" s="23">
        <f t="shared" si="59"/>
        <v>3.1018525099037454E-2</v>
      </c>
      <c r="M167" s="23">
        <f t="shared" si="59"/>
        <v>0</v>
      </c>
      <c r="N167" s="23">
        <f t="shared" si="59"/>
        <v>1.1829819079459392E-4</v>
      </c>
      <c r="O167" s="23">
        <f t="shared" si="59"/>
        <v>0</v>
      </c>
      <c r="P167" s="26"/>
      <c r="Q167" s="7">
        <f t="shared" si="60"/>
        <v>1.1829819079459392E-4</v>
      </c>
      <c r="R167" s="7">
        <f t="shared" si="60"/>
        <v>3.1018525099037454E-2</v>
      </c>
      <c r="T167" s="8">
        <f t="shared" si="61"/>
        <v>0.99999999999999989</v>
      </c>
    </row>
    <row r="168" spans="2:20" s="11" customFormat="1" ht="15" x14ac:dyDescent="0.25">
      <c r="C168" s="12"/>
      <c r="D168" s="12"/>
      <c r="E168" s="14"/>
      <c r="F168" s="14"/>
      <c r="G168" s="14"/>
      <c r="H168" s="16"/>
      <c r="I168" s="14"/>
      <c r="J168" s="14"/>
      <c r="K168" s="16"/>
      <c r="L168" s="14"/>
      <c r="M168" s="16"/>
      <c r="N168" s="20"/>
      <c r="O168" s="20"/>
      <c r="P168" s="20"/>
    </row>
    <row r="169" spans="2:20" s="9" customFormat="1" ht="21" x14ac:dyDescent="0.35">
      <c r="B169" s="10" t="s">
        <v>18</v>
      </c>
    </row>
    <row r="170" spans="2:20" s="32" customFormat="1" ht="15" x14ac:dyDescent="0.25">
      <c r="B170" s="43"/>
      <c r="C170" s="40"/>
      <c r="D170" s="40"/>
      <c r="E170" s="40"/>
      <c r="P170" s="58"/>
    </row>
    <row r="171" spans="2:20" s="32" customFormat="1" ht="15.75" customHeight="1" x14ac:dyDescent="0.25">
      <c r="B171" s="33" t="s">
        <v>21</v>
      </c>
      <c r="C171" s="17">
        <v>547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99"/>
    </row>
    <row r="172" spans="2:20" s="32" customFormat="1" ht="15" x14ac:dyDescent="0.25">
      <c r="B172" s="33" t="s">
        <v>19</v>
      </c>
      <c r="C172" s="17">
        <v>650</v>
      </c>
      <c r="D172" s="17">
        <v>650</v>
      </c>
      <c r="E172" s="17">
        <v>0</v>
      </c>
      <c r="F172" s="17">
        <v>161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201</v>
      </c>
      <c r="O172" s="17">
        <v>0</v>
      </c>
      <c r="P172" s="99"/>
    </row>
    <row r="173" spans="2:20" s="32" customFormat="1" ht="15" x14ac:dyDescent="0.25">
      <c r="B173" s="33" t="s">
        <v>20</v>
      </c>
      <c r="C173" s="36">
        <v>0.26832454873646205</v>
      </c>
      <c r="D173" s="36">
        <v>0.12287246155234656</v>
      </c>
      <c r="E173" s="36">
        <v>0.95</v>
      </c>
      <c r="F173" s="36">
        <v>2.5</v>
      </c>
      <c r="G173" s="36">
        <v>0.3</v>
      </c>
      <c r="H173" s="36">
        <v>0.93</v>
      </c>
      <c r="I173" s="36">
        <v>3.3</v>
      </c>
      <c r="J173" s="36">
        <v>1.7</v>
      </c>
      <c r="K173" s="36">
        <v>1.107</v>
      </c>
      <c r="L173" s="36">
        <v>1.65</v>
      </c>
      <c r="M173" s="36">
        <v>1.51</v>
      </c>
      <c r="N173" s="36">
        <v>0.05</v>
      </c>
      <c r="O173" s="36">
        <v>0</v>
      </c>
      <c r="P173" s="100"/>
    </row>
    <row r="174" spans="2:20" s="58" customFormat="1" ht="15" x14ac:dyDescent="0.25">
      <c r="B174" s="67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</row>
    <row r="175" spans="2:20" ht="30" x14ac:dyDescent="0.25">
      <c r="B175" s="43" t="s">
        <v>45</v>
      </c>
      <c r="C175" s="43" t="s">
        <v>0</v>
      </c>
      <c r="D175" s="43" t="s">
        <v>1</v>
      </c>
      <c r="E175" s="43" t="s">
        <v>28</v>
      </c>
      <c r="F175" s="2" t="s">
        <v>29</v>
      </c>
      <c r="G175" s="2" t="s">
        <v>6</v>
      </c>
      <c r="H175" s="43" t="s">
        <v>2</v>
      </c>
      <c r="I175" s="43" t="s">
        <v>3</v>
      </c>
      <c r="J175" s="43" t="s">
        <v>4</v>
      </c>
      <c r="K175" s="43" t="s">
        <v>9</v>
      </c>
      <c r="L175" s="43" t="s">
        <v>8</v>
      </c>
      <c r="M175" s="43" t="s">
        <v>25</v>
      </c>
      <c r="N175" s="43" t="s">
        <v>7</v>
      </c>
      <c r="O175" s="43" t="s">
        <v>89</v>
      </c>
      <c r="P175" s="25"/>
      <c r="Q175" s="43" t="s">
        <v>5</v>
      </c>
      <c r="R175" s="43" t="s">
        <v>91</v>
      </c>
      <c r="T175" s="43" t="s">
        <v>10</v>
      </c>
    </row>
    <row r="176" spans="2:20" ht="15" x14ac:dyDescent="0.25">
      <c r="B176" s="3">
        <v>2016</v>
      </c>
      <c r="C176" s="19">
        <f t="shared" ref="C176:O176" si="62">((C$172+C$171)*C4+C$173*C34*1000)/1000000</f>
        <v>95.4358045170775</v>
      </c>
      <c r="D176" s="19">
        <f t="shared" si="62"/>
        <v>3.0206166863931165</v>
      </c>
      <c r="E176" s="19">
        <f t="shared" si="62"/>
        <v>0.71827291818882821</v>
      </c>
      <c r="F176" s="19">
        <f t="shared" si="62"/>
        <v>5.6112431781664789</v>
      </c>
      <c r="G176" s="19">
        <f t="shared" si="62"/>
        <v>4.7397372806457199</v>
      </c>
      <c r="H176" s="19">
        <f t="shared" si="62"/>
        <v>3.7406611452973988</v>
      </c>
      <c r="I176" s="19">
        <f t="shared" si="62"/>
        <v>2.7313107545794142</v>
      </c>
      <c r="J176" s="19">
        <f t="shared" si="62"/>
        <v>4.4864465988215327</v>
      </c>
      <c r="K176" s="19">
        <f t="shared" si="62"/>
        <v>0</v>
      </c>
      <c r="L176" s="19">
        <f t="shared" si="62"/>
        <v>2.6131623050841757</v>
      </c>
      <c r="M176" s="19">
        <f t="shared" si="62"/>
        <v>0</v>
      </c>
      <c r="N176" s="19">
        <f t="shared" si="62"/>
        <v>0.46729964879989472</v>
      </c>
      <c r="O176" s="19">
        <f t="shared" si="62"/>
        <v>0</v>
      </c>
      <c r="P176" s="62"/>
      <c r="Q176" s="39">
        <f>G176+N176</f>
        <v>5.2070369294456142</v>
      </c>
      <c r="R176" s="5">
        <f>SUM(K176:L176)</f>
        <v>2.6131623050841757</v>
      </c>
      <c r="T176" s="5">
        <f>SUM(C176:O176)</f>
        <v>123.56455503305405</v>
      </c>
    </row>
    <row r="177" spans="2:23" ht="15" x14ac:dyDescent="0.25">
      <c r="B177" s="3">
        <v>2030</v>
      </c>
      <c r="C177" s="19">
        <f t="shared" ref="C177:O177" si="63">((C$172+C$171)*C5+C$173*C35*1000)/1000000</f>
        <v>60.760496744258148</v>
      </c>
      <c r="D177" s="19">
        <f t="shared" si="63"/>
        <v>3.0058417448943162</v>
      </c>
      <c r="E177" s="19">
        <f t="shared" si="63"/>
        <v>2.1299949365524173</v>
      </c>
      <c r="F177" s="19">
        <f t="shared" si="63"/>
        <v>1.8036286489289188</v>
      </c>
      <c r="G177" s="19">
        <f t="shared" si="63"/>
        <v>3.8901147885811502</v>
      </c>
      <c r="H177" s="19">
        <f t="shared" si="63"/>
        <v>3.8942460464198732</v>
      </c>
      <c r="I177" s="19">
        <f t="shared" si="63"/>
        <v>2.7703909047376616</v>
      </c>
      <c r="J177" s="19">
        <f t="shared" si="63"/>
        <v>4.4601263639585227</v>
      </c>
      <c r="K177" s="19">
        <f t="shared" si="63"/>
        <v>0</v>
      </c>
      <c r="L177" s="19">
        <f t="shared" si="63"/>
        <v>2.5684182992889859</v>
      </c>
      <c r="M177" s="19">
        <f t="shared" si="63"/>
        <v>0</v>
      </c>
      <c r="N177" s="19">
        <f t="shared" si="63"/>
        <v>0.37393851742949147</v>
      </c>
      <c r="O177" s="19">
        <f t="shared" si="63"/>
        <v>0</v>
      </c>
      <c r="P177" s="62"/>
      <c r="Q177" s="39">
        <f>G177+N177</f>
        <v>4.2640533060106414</v>
      </c>
      <c r="R177" s="5">
        <f>SUM(K177:L177)</f>
        <v>2.5684182992889859</v>
      </c>
      <c r="T177" s="5">
        <f t="shared" ref="T177:T179" si="64">SUM(C177:O177)</f>
        <v>85.657196995049489</v>
      </c>
    </row>
    <row r="178" spans="2:23" ht="15" x14ac:dyDescent="0.25">
      <c r="B178" s="3">
        <v>2040</v>
      </c>
      <c r="C178" s="19">
        <f t="shared" ref="C178:O178" si="65">((C$172+C$171)*C6+C$173*C36*1000)/1000000</f>
        <v>16.675579106046378</v>
      </c>
      <c r="D178" s="19">
        <f t="shared" si="65"/>
        <v>2.9401840638324712</v>
      </c>
      <c r="E178" s="19">
        <f t="shared" si="65"/>
        <v>2.1582867051495871</v>
      </c>
      <c r="F178" s="19">
        <f t="shared" si="65"/>
        <v>0.48822464687682815</v>
      </c>
      <c r="G178" s="19">
        <f t="shared" si="65"/>
        <v>3.5955375195518675</v>
      </c>
      <c r="H178" s="19">
        <f t="shared" si="65"/>
        <v>0</v>
      </c>
      <c r="I178" s="19">
        <f t="shared" si="65"/>
        <v>2.7940517404512253</v>
      </c>
      <c r="J178" s="19">
        <f t="shared" si="65"/>
        <v>1.3198401783410461</v>
      </c>
      <c r="K178" s="19">
        <f t="shared" si="65"/>
        <v>0</v>
      </c>
      <c r="L178" s="19">
        <f t="shared" si="65"/>
        <v>2.6001584702063893</v>
      </c>
      <c r="M178" s="19">
        <f t="shared" si="65"/>
        <v>0</v>
      </c>
      <c r="N178" s="19">
        <f t="shared" si="65"/>
        <v>0.45578105664692786</v>
      </c>
      <c r="O178" s="19">
        <f t="shared" si="65"/>
        <v>0</v>
      </c>
      <c r="P178" s="62"/>
      <c r="Q178" s="39">
        <f>G178+N178</f>
        <v>4.0513185761987955</v>
      </c>
      <c r="R178" s="5">
        <f>SUM(K178:L178)</f>
        <v>2.6001584702063893</v>
      </c>
      <c r="T178" s="5">
        <f t="shared" si="64"/>
        <v>33.027643487102722</v>
      </c>
    </row>
    <row r="179" spans="2:23" ht="15" x14ac:dyDescent="0.25">
      <c r="B179" s="3">
        <v>2050</v>
      </c>
      <c r="C179" s="19">
        <f t="shared" ref="C179:O179" si="66">((C$172+C$171)*C7+C$173*C37*1000)/1000000</f>
        <v>0.80198999999999998</v>
      </c>
      <c r="D179" s="19">
        <f t="shared" si="66"/>
        <v>0</v>
      </c>
      <c r="E179" s="19">
        <f t="shared" si="66"/>
        <v>2.1262013933121025</v>
      </c>
      <c r="F179" s="19">
        <f t="shared" si="66"/>
        <v>0</v>
      </c>
      <c r="G179" s="19">
        <f t="shared" si="66"/>
        <v>3.3498320508403934</v>
      </c>
      <c r="H179" s="19">
        <f t="shared" si="66"/>
        <v>0</v>
      </c>
      <c r="I179" s="19">
        <f t="shared" si="66"/>
        <v>0</v>
      </c>
      <c r="J179" s="19">
        <f t="shared" si="66"/>
        <v>0</v>
      </c>
      <c r="K179" s="19">
        <f t="shared" si="66"/>
        <v>0</v>
      </c>
      <c r="L179" s="19">
        <f t="shared" si="66"/>
        <v>2.6315310846930933</v>
      </c>
      <c r="M179" s="19">
        <f t="shared" si="66"/>
        <v>0</v>
      </c>
      <c r="N179" s="19">
        <f t="shared" si="66"/>
        <v>0.47228314821734263</v>
      </c>
      <c r="O179" s="19">
        <f t="shared" si="66"/>
        <v>0</v>
      </c>
      <c r="P179" s="62"/>
      <c r="Q179" s="39">
        <f>G179+N179</f>
        <v>3.8221151990577358</v>
      </c>
      <c r="R179" s="5">
        <f>SUM(K179:L179)</f>
        <v>2.6315310846930933</v>
      </c>
      <c r="T179" s="5">
        <f t="shared" si="64"/>
        <v>9.3818376770629328</v>
      </c>
    </row>
    <row r="180" spans="2:23" ht="15" x14ac:dyDescent="0.25">
      <c r="B180" s="43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69"/>
      <c r="Q180" s="5"/>
      <c r="R180" s="5"/>
      <c r="S180" s="5"/>
      <c r="T180" s="5"/>
    </row>
    <row r="181" spans="2:23" s="32" customFormat="1" ht="15.75" customHeight="1" x14ac:dyDescent="0.25">
      <c r="B181" s="33" t="s">
        <v>21</v>
      </c>
      <c r="C181" s="44">
        <f>AVERAGE(4525,4679)</f>
        <v>4602</v>
      </c>
      <c r="D181" s="44">
        <v>6454.9045250562804</v>
      </c>
      <c r="E181" s="44">
        <v>901.10972649676557</v>
      </c>
      <c r="F181" s="44">
        <v>794.35459770843181</v>
      </c>
      <c r="G181" s="44">
        <v>0</v>
      </c>
      <c r="H181" s="44">
        <v>0</v>
      </c>
      <c r="I181" s="44">
        <v>0</v>
      </c>
      <c r="J181" s="44">
        <v>0</v>
      </c>
      <c r="K181" s="44">
        <v>2810</v>
      </c>
      <c r="L181" s="44">
        <v>0</v>
      </c>
      <c r="M181" s="44">
        <v>0</v>
      </c>
      <c r="N181" s="44">
        <v>2328.2524449730454</v>
      </c>
      <c r="O181" s="44">
        <v>0</v>
      </c>
      <c r="P181" s="99"/>
    </row>
    <row r="182" spans="2:23" s="32" customFormat="1" ht="15" x14ac:dyDescent="0.25">
      <c r="B182" s="33" t="s">
        <v>19</v>
      </c>
      <c r="C182" s="17">
        <v>924</v>
      </c>
      <c r="D182" s="44">
        <v>968.06859205776175</v>
      </c>
      <c r="E182" s="44">
        <v>165.17328519855596</v>
      </c>
      <c r="F182" s="44">
        <v>160.79783393501805</v>
      </c>
      <c r="G182" s="44">
        <v>0</v>
      </c>
      <c r="H182" s="44">
        <v>0</v>
      </c>
      <c r="I182" s="44">
        <v>0</v>
      </c>
      <c r="J182" s="44">
        <v>0</v>
      </c>
      <c r="K182" s="44">
        <v>2373</v>
      </c>
      <c r="L182" s="44">
        <v>0</v>
      </c>
      <c r="M182" s="44">
        <v>0</v>
      </c>
      <c r="N182" s="44">
        <v>201.27075812274367</v>
      </c>
      <c r="O182" s="44">
        <v>0</v>
      </c>
      <c r="P182" s="99"/>
    </row>
    <row r="183" spans="2:23" s="32" customFormat="1" ht="15" x14ac:dyDescent="0.25">
      <c r="B183" s="33" t="s">
        <v>20</v>
      </c>
      <c r="C183" s="36">
        <v>0.36168632057761729</v>
      </c>
      <c r="D183" s="36">
        <v>0.12287246155234656</v>
      </c>
      <c r="E183" s="36">
        <v>1.1311272563176895</v>
      </c>
      <c r="F183" s="36">
        <v>1.730256498194946</v>
      </c>
      <c r="G183" s="36">
        <v>1.24</v>
      </c>
      <c r="H183" s="36">
        <v>0.70507456548359604</v>
      </c>
      <c r="I183" s="36">
        <v>2.2907692307692309</v>
      </c>
      <c r="J183" s="36">
        <v>0.79657730380457292</v>
      </c>
      <c r="K183" s="36">
        <v>0.09</v>
      </c>
      <c r="L183" s="36">
        <v>1.61</v>
      </c>
      <c r="M183" s="36">
        <v>1.51</v>
      </c>
      <c r="N183" s="36">
        <v>0</v>
      </c>
      <c r="O183" s="36">
        <v>0</v>
      </c>
      <c r="P183" s="99"/>
    </row>
    <row r="184" spans="2:23" s="58" customFormat="1" ht="15" x14ac:dyDescent="0.25">
      <c r="B184" s="67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</row>
    <row r="185" spans="2:23" ht="30" x14ac:dyDescent="0.25">
      <c r="B185" s="43" t="s">
        <v>46</v>
      </c>
      <c r="C185" s="43" t="s">
        <v>0</v>
      </c>
      <c r="D185" s="43" t="s">
        <v>1</v>
      </c>
      <c r="E185" s="43" t="s">
        <v>28</v>
      </c>
      <c r="F185" s="2" t="s">
        <v>29</v>
      </c>
      <c r="G185" s="2" t="s">
        <v>6</v>
      </c>
      <c r="H185" s="43" t="s">
        <v>2</v>
      </c>
      <c r="I185" s="43" t="s">
        <v>3</v>
      </c>
      <c r="J185" s="43" t="s">
        <v>4</v>
      </c>
      <c r="K185" s="43" t="s">
        <v>9</v>
      </c>
      <c r="L185" s="43" t="s">
        <v>8</v>
      </c>
      <c r="M185" s="43" t="s">
        <v>25</v>
      </c>
      <c r="N185" s="43" t="s">
        <v>7</v>
      </c>
      <c r="O185" s="43" t="s">
        <v>89</v>
      </c>
      <c r="P185" s="25"/>
      <c r="Q185" s="43" t="s">
        <v>5</v>
      </c>
      <c r="R185" s="43" t="s">
        <v>91</v>
      </c>
      <c r="T185" s="43" t="s">
        <v>10</v>
      </c>
    </row>
    <row r="186" spans="2:23" ht="15" x14ac:dyDescent="0.25">
      <c r="B186" s="3">
        <v>2016</v>
      </c>
      <c r="C186" s="19">
        <f t="shared" ref="C186:O186" si="67">((C$182+C$181)*C10+C$183*C40*1000)/1000000</f>
        <v>3.9897719999999999</v>
      </c>
      <c r="D186" s="19">
        <f t="shared" si="67"/>
        <v>0</v>
      </c>
      <c r="E186" s="19">
        <f t="shared" si="67"/>
        <v>0</v>
      </c>
      <c r="F186" s="19">
        <f t="shared" si="67"/>
        <v>0</v>
      </c>
      <c r="G186" s="19">
        <f t="shared" si="67"/>
        <v>0</v>
      </c>
      <c r="H186" s="19">
        <f t="shared" si="67"/>
        <v>0</v>
      </c>
      <c r="I186" s="19">
        <f t="shared" si="67"/>
        <v>0</v>
      </c>
      <c r="J186" s="19">
        <f t="shared" si="67"/>
        <v>0</v>
      </c>
      <c r="K186" s="19">
        <f t="shared" si="67"/>
        <v>0</v>
      </c>
      <c r="L186" s="19">
        <f t="shared" si="67"/>
        <v>0</v>
      </c>
      <c r="M186" s="19">
        <f t="shared" si="67"/>
        <v>0</v>
      </c>
      <c r="N186" s="19">
        <f t="shared" si="67"/>
        <v>0</v>
      </c>
      <c r="O186" s="19">
        <f t="shared" si="67"/>
        <v>0</v>
      </c>
      <c r="P186" s="62"/>
      <c r="Q186" s="39">
        <f>G186+N186</f>
        <v>0</v>
      </c>
      <c r="R186" s="5">
        <f>SUM(K186:L186)</f>
        <v>0</v>
      </c>
      <c r="T186" s="5">
        <f>SUM(C186:O186)</f>
        <v>3.9897719999999999</v>
      </c>
    </row>
    <row r="187" spans="2:23" ht="15" x14ac:dyDescent="0.25">
      <c r="B187" s="3">
        <v>2030</v>
      </c>
      <c r="C187" s="19">
        <f t="shared" ref="C187:O187" si="68">((C$182+C$181)*C11+C$183*C41*1000)/1000000</f>
        <v>79.150630131092285</v>
      </c>
      <c r="D187" s="19">
        <f t="shared" si="68"/>
        <v>0</v>
      </c>
      <c r="E187" s="19">
        <f t="shared" si="68"/>
        <v>0</v>
      </c>
      <c r="F187" s="19">
        <f t="shared" si="68"/>
        <v>0</v>
      </c>
      <c r="G187" s="19">
        <f t="shared" si="68"/>
        <v>0.24285675709707372</v>
      </c>
      <c r="H187" s="19">
        <f t="shared" si="68"/>
        <v>6.3305827541697974</v>
      </c>
      <c r="I187" s="19">
        <f t="shared" si="68"/>
        <v>9.6647171604202669</v>
      </c>
      <c r="J187" s="19">
        <f t="shared" si="68"/>
        <v>1.8827005076663124</v>
      </c>
      <c r="K187" s="19">
        <f t="shared" si="68"/>
        <v>0.30655558822304102</v>
      </c>
      <c r="L187" s="19">
        <f t="shared" si="68"/>
        <v>1.6505140113445906</v>
      </c>
      <c r="M187" s="19">
        <f t="shared" si="68"/>
        <v>0</v>
      </c>
      <c r="N187" s="19">
        <f t="shared" si="68"/>
        <v>3.3693249065235911</v>
      </c>
      <c r="O187" s="19">
        <f t="shared" si="68"/>
        <v>0</v>
      </c>
      <c r="P187" s="62"/>
      <c r="Q187" s="39">
        <f>G187+N187</f>
        <v>3.6121816636206647</v>
      </c>
      <c r="R187" s="5">
        <f>SUM(K187:L187)</f>
        <v>1.9570695995676317</v>
      </c>
      <c r="T187" s="5">
        <f t="shared" ref="T187:T189" si="69">SUM(C187:O187)</f>
        <v>102.59788181653695</v>
      </c>
    </row>
    <row r="188" spans="2:23" ht="15" x14ac:dyDescent="0.25">
      <c r="B188" s="3">
        <v>2040</v>
      </c>
      <c r="C188" s="19">
        <f t="shared" ref="C188:O188" si="70">((C$182+C$181)*C12+C$183*C42*1000)/1000000</f>
        <v>72.935313368977575</v>
      </c>
      <c r="D188" s="19">
        <f t="shared" si="70"/>
        <v>0</v>
      </c>
      <c r="E188" s="19">
        <f t="shared" si="70"/>
        <v>0</v>
      </c>
      <c r="F188" s="19">
        <f t="shared" si="70"/>
        <v>0</v>
      </c>
      <c r="G188" s="19">
        <f t="shared" si="70"/>
        <v>0.25406496576603832</v>
      </c>
      <c r="H188" s="19">
        <f t="shared" si="70"/>
        <v>0</v>
      </c>
      <c r="I188" s="19">
        <f t="shared" si="70"/>
        <v>9.700070103221309</v>
      </c>
      <c r="J188" s="19">
        <f t="shared" si="70"/>
        <v>1.8937346074152903</v>
      </c>
      <c r="K188" s="19">
        <f t="shared" si="70"/>
        <v>0.30660777594239025</v>
      </c>
      <c r="L188" s="19">
        <f t="shared" si="70"/>
        <v>1.6558414973138893</v>
      </c>
      <c r="M188" s="19">
        <f t="shared" si="70"/>
        <v>0</v>
      </c>
      <c r="N188" s="19">
        <f t="shared" si="70"/>
        <v>3.3693249065235911</v>
      </c>
      <c r="O188" s="19">
        <f t="shared" si="70"/>
        <v>0</v>
      </c>
      <c r="P188" s="62"/>
      <c r="Q188" s="39">
        <f>G188+N188</f>
        <v>3.6233898722896294</v>
      </c>
      <c r="R188" s="5">
        <f>SUM(K188:L188)</f>
        <v>1.9624492732562795</v>
      </c>
      <c r="T188" s="5">
        <f t="shared" si="69"/>
        <v>90.114957225160083</v>
      </c>
    </row>
    <row r="189" spans="2:23" ht="15" x14ac:dyDescent="0.25">
      <c r="B189" s="3">
        <v>2050</v>
      </c>
      <c r="C189" s="19">
        <f t="shared" ref="C189:O189" si="71">((C$182+C$181)*C13+C$183*C43*1000)/1000000</f>
        <v>69.647056827508592</v>
      </c>
      <c r="D189" s="19">
        <f t="shared" si="71"/>
        <v>0</v>
      </c>
      <c r="E189" s="19">
        <f t="shared" si="71"/>
        <v>0</v>
      </c>
      <c r="F189" s="19">
        <f t="shared" si="71"/>
        <v>0</v>
      </c>
      <c r="G189" s="19">
        <f t="shared" si="71"/>
        <v>0.25619655571887817</v>
      </c>
      <c r="H189" s="19">
        <f t="shared" si="71"/>
        <v>0</v>
      </c>
      <c r="I189" s="19">
        <f t="shared" si="71"/>
        <v>0</v>
      </c>
      <c r="J189" s="19">
        <f t="shared" si="71"/>
        <v>0</v>
      </c>
      <c r="K189" s="19">
        <f t="shared" si="71"/>
        <v>0</v>
      </c>
      <c r="L189" s="19">
        <f t="shared" si="71"/>
        <v>0</v>
      </c>
      <c r="M189" s="19">
        <f t="shared" si="71"/>
        <v>0</v>
      </c>
      <c r="N189" s="19">
        <f t="shared" si="71"/>
        <v>3.3693249065235911</v>
      </c>
      <c r="O189" s="19">
        <f t="shared" si="71"/>
        <v>0</v>
      </c>
      <c r="P189" s="62"/>
      <c r="Q189" s="39">
        <f>G189+N189</f>
        <v>3.6255214622424692</v>
      </c>
      <c r="R189" s="5">
        <f>SUM(K189:L189)</f>
        <v>0</v>
      </c>
      <c r="T189" s="5">
        <f t="shared" si="69"/>
        <v>73.272578289751053</v>
      </c>
    </row>
    <row r="190" spans="2:23" ht="15" x14ac:dyDescent="0.25"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69"/>
      <c r="Q190" s="5"/>
      <c r="R190" s="5"/>
      <c r="S190" s="5"/>
      <c r="T190" s="5"/>
    </row>
    <row r="191" spans="2:23" ht="15" x14ac:dyDescent="0.25">
      <c r="Q191" s="5"/>
      <c r="R191" s="5"/>
      <c r="S191" s="5"/>
      <c r="T191" s="5"/>
      <c r="W191" s="5"/>
    </row>
    <row r="192" spans="2:23" ht="15" x14ac:dyDescent="0.25">
      <c r="B192" s="33" t="s">
        <v>21</v>
      </c>
      <c r="C192" s="44">
        <v>3559.4976938012715</v>
      </c>
      <c r="D192" s="44">
        <v>6454.9045250562804</v>
      </c>
      <c r="E192" s="44">
        <v>901.10972649676557</v>
      </c>
      <c r="F192" s="44">
        <v>794.35459770843181</v>
      </c>
      <c r="G192" s="44">
        <v>5564</v>
      </c>
      <c r="H192" s="44">
        <v>1911</v>
      </c>
      <c r="I192" s="44">
        <v>0</v>
      </c>
      <c r="J192" s="44">
        <v>1062</v>
      </c>
      <c r="K192" s="44">
        <v>1154.0789960129314</v>
      </c>
      <c r="L192" s="44">
        <v>4395</v>
      </c>
      <c r="M192" s="44"/>
      <c r="N192" s="44">
        <v>2328.2524449730454</v>
      </c>
      <c r="O192" s="44">
        <v>2512</v>
      </c>
      <c r="P192" s="101"/>
      <c r="Q192" s="5"/>
      <c r="R192" s="5"/>
      <c r="S192" s="5"/>
      <c r="T192" s="5"/>
    </row>
    <row r="193" spans="1:20" ht="15" x14ac:dyDescent="0.25">
      <c r="B193" s="3">
        <v>2030</v>
      </c>
      <c r="C193" s="44">
        <v>3559.4976938012715</v>
      </c>
      <c r="D193" s="44">
        <v>6281</v>
      </c>
      <c r="E193" s="44">
        <v>901.10972649676557</v>
      </c>
      <c r="F193" s="44">
        <v>794.35459770843181</v>
      </c>
      <c r="G193" s="44">
        <v>5564</v>
      </c>
      <c r="H193" s="44">
        <v>1726</v>
      </c>
      <c r="I193" s="44">
        <v>7222</v>
      </c>
      <c r="J193" s="44">
        <v>802</v>
      </c>
      <c r="K193" s="44">
        <v>1154.0789960129314</v>
      </c>
      <c r="L193" s="44">
        <v>4395</v>
      </c>
      <c r="M193" s="44"/>
      <c r="N193" s="44">
        <v>2328.2524449730454</v>
      </c>
      <c r="O193" s="44">
        <v>620</v>
      </c>
      <c r="P193" s="101"/>
      <c r="Q193" s="5"/>
      <c r="R193" s="5"/>
      <c r="S193" s="5"/>
      <c r="T193" s="5"/>
    </row>
    <row r="194" spans="1:20" ht="15" x14ac:dyDescent="0.25">
      <c r="B194" s="3">
        <v>2040</v>
      </c>
      <c r="C194" s="44">
        <v>3559.4976938012715</v>
      </c>
      <c r="D194" s="44">
        <v>6281</v>
      </c>
      <c r="E194" s="44">
        <v>901.10972649676557</v>
      </c>
      <c r="F194" s="44">
        <v>794.35459770843181</v>
      </c>
      <c r="G194" s="44">
        <v>5564</v>
      </c>
      <c r="H194" s="44">
        <v>1633</v>
      </c>
      <c r="I194" s="44">
        <v>5660</v>
      </c>
      <c r="J194" s="44">
        <v>662</v>
      </c>
      <c r="K194" s="44">
        <v>1154.0789960129314</v>
      </c>
      <c r="L194" s="44">
        <v>4395</v>
      </c>
      <c r="M194" s="44"/>
      <c r="N194" s="44">
        <v>2328.2524449730454</v>
      </c>
      <c r="O194" s="44">
        <v>310</v>
      </c>
      <c r="P194" s="101"/>
      <c r="Q194" s="5"/>
      <c r="R194" s="5"/>
      <c r="S194" s="5"/>
      <c r="T194" s="5"/>
    </row>
    <row r="195" spans="1:20" ht="15" x14ac:dyDescent="0.25">
      <c r="B195" s="3">
        <v>2050</v>
      </c>
      <c r="C195" s="44">
        <v>3559.4976938012715</v>
      </c>
      <c r="D195" s="44">
        <v>6281</v>
      </c>
      <c r="E195" s="44">
        <v>901.10972649676557</v>
      </c>
      <c r="F195" s="44">
        <v>794.35459770843181</v>
      </c>
      <c r="G195" s="44">
        <v>5564</v>
      </c>
      <c r="H195" s="44">
        <v>1541</v>
      </c>
      <c r="I195" s="44">
        <v>4098</v>
      </c>
      <c r="J195" s="44">
        <v>523</v>
      </c>
      <c r="K195" s="44">
        <v>1154.0789960129314</v>
      </c>
      <c r="L195" s="44">
        <v>4395</v>
      </c>
      <c r="M195" s="44"/>
      <c r="N195" s="44">
        <v>2328.2524449730454</v>
      </c>
      <c r="O195" s="44">
        <v>248</v>
      </c>
      <c r="P195" s="101"/>
      <c r="Q195" s="5"/>
      <c r="R195" s="5"/>
      <c r="S195" s="5"/>
      <c r="T195" s="5"/>
    </row>
    <row r="196" spans="1:20" s="32" customFormat="1" ht="15" x14ac:dyDescent="0.25">
      <c r="B196" s="33" t="s">
        <v>19</v>
      </c>
      <c r="C196" s="17">
        <v>924</v>
      </c>
      <c r="D196" s="44">
        <v>968.06859205776175</v>
      </c>
      <c r="E196" s="44">
        <v>165.17328519855596</v>
      </c>
      <c r="F196" s="44">
        <v>160.79783393501805</v>
      </c>
      <c r="G196" s="44">
        <v>907.42483754512637</v>
      </c>
      <c r="H196" s="44">
        <v>0</v>
      </c>
      <c r="I196" s="44">
        <v>0</v>
      </c>
      <c r="J196" s="44">
        <v>0</v>
      </c>
      <c r="K196" s="44">
        <v>422</v>
      </c>
      <c r="L196" s="44">
        <v>1655.0144404332129</v>
      </c>
      <c r="M196" s="44"/>
      <c r="N196" s="44">
        <v>201.27075812274367</v>
      </c>
      <c r="O196" s="44">
        <v>618</v>
      </c>
      <c r="P196" s="101"/>
    </row>
    <row r="197" spans="1:20" ht="15" x14ac:dyDescent="0.25">
      <c r="B197" s="3">
        <v>2030</v>
      </c>
      <c r="C197" s="17">
        <v>924</v>
      </c>
      <c r="D197" s="44">
        <v>968.06859205776175</v>
      </c>
      <c r="E197" s="44">
        <v>165.17328519855596</v>
      </c>
      <c r="F197" s="44">
        <v>160.79783393501805</v>
      </c>
      <c r="G197" s="44">
        <v>907.42483754512637</v>
      </c>
      <c r="H197" s="44">
        <v>0</v>
      </c>
      <c r="I197" s="44">
        <v>0</v>
      </c>
      <c r="J197" s="44">
        <v>0</v>
      </c>
      <c r="K197" s="44">
        <v>422</v>
      </c>
      <c r="L197" s="44">
        <v>1655.0144404332129</v>
      </c>
      <c r="M197" s="44"/>
      <c r="N197" s="44">
        <v>201.27075812274367</v>
      </c>
      <c r="O197" s="44">
        <v>309</v>
      </c>
      <c r="P197" s="101"/>
      <c r="Q197" s="5"/>
      <c r="R197" s="5"/>
      <c r="S197" s="5"/>
      <c r="T197" s="5"/>
    </row>
    <row r="198" spans="1:20" ht="15" x14ac:dyDescent="0.25">
      <c r="B198" s="3">
        <v>2040</v>
      </c>
      <c r="C198" s="17">
        <v>924</v>
      </c>
      <c r="D198" s="44">
        <v>968.06859205776175</v>
      </c>
      <c r="E198" s="44">
        <v>165.17328519855596</v>
      </c>
      <c r="F198" s="44">
        <v>160.79783393501805</v>
      </c>
      <c r="G198" s="44">
        <v>907.42483754512637</v>
      </c>
      <c r="H198" s="44">
        <v>0</v>
      </c>
      <c r="I198" s="44">
        <v>0</v>
      </c>
      <c r="J198" s="44">
        <v>0</v>
      </c>
      <c r="K198" s="44">
        <v>422</v>
      </c>
      <c r="L198" s="44">
        <v>1655.0144404332129</v>
      </c>
      <c r="M198" s="44"/>
      <c r="N198" s="44">
        <v>201.27075812274367</v>
      </c>
      <c r="O198" s="44">
        <v>309</v>
      </c>
      <c r="P198" s="101"/>
      <c r="Q198" s="5"/>
      <c r="R198" s="5"/>
      <c r="S198" s="5"/>
      <c r="T198" s="5"/>
    </row>
    <row r="199" spans="1:20" ht="15" x14ac:dyDescent="0.25">
      <c r="B199" s="3">
        <v>2050</v>
      </c>
      <c r="C199" s="17">
        <v>924</v>
      </c>
      <c r="D199" s="44">
        <v>968.06859205776175</v>
      </c>
      <c r="E199" s="44">
        <v>165.17328519855596</v>
      </c>
      <c r="F199" s="44">
        <v>160.79783393501805</v>
      </c>
      <c r="G199" s="44">
        <v>907.42483754512637</v>
      </c>
      <c r="H199" s="44">
        <v>0</v>
      </c>
      <c r="I199" s="44">
        <v>0</v>
      </c>
      <c r="J199" s="44">
        <v>0</v>
      </c>
      <c r="K199" s="44">
        <v>422</v>
      </c>
      <c r="L199" s="44">
        <v>1655.0144404332129</v>
      </c>
      <c r="M199" s="44"/>
      <c r="N199" s="44">
        <v>201.27075812274367</v>
      </c>
      <c r="O199" s="44">
        <v>309</v>
      </c>
      <c r="P199" s="101"/>
      <c r="Q199" s="5"/>
      <c r="R199" s="5"/>
      <c r="S199" s="5"/>
      <c r="T199" s="5"/>
    </row>
    <row r="200" spans="1:20" s="32" customFormat="1" ht="15" x14ac:dyDescent="0.25">
      <c r="B200" s="33" t="s">
        <v>20</v>
      </c>
      <c r="C200" s="45">
        <v>0.36168632057761729</v>
      </c>
      <c r="D200" s="45">
        <v>0.12287246155234656</v>
      </c>
      <c r="E200" s="45">
        <v>1.1311272563176895</v>
      </c>
      <c r="F200" s="45">
        <v>1.7302564981949458</v>
      </c>
      <c r="G200" s="45">
        <v>0</v>
      </c>
      <c r="H200" s="45">
        <v>0</v>
      </c>
      <c r="I200" s="45">
        <v>0</v>
      </c>
      <c r="J200" s="45">
        <v>0</v>
      </c>
      <c r="K200" s="45">
        <v>1.42</v>
      </c>
      <c r="L200" s="45">
        <v>0.46</v>
      </c>
      <c r="M200" s="45">
        <v>1.51</v>
      </c>
      <c r="N200" s="45">
        <v>0</v>
      </c>
      <c r="O200" s="45">
        <v>3.2000000000000001E-2</v>
      </c>
      <c r="P200" s="100"/>
    </row>
    <row r="201" spans="1:20" ht="15" x14ac:dyDescent="0.25">
      <c r="B201" s="3">
        <v>2030</v>
      </c>
      <c r="C201" s="45">
        <v>0.36168632057761729</v>
      </c>
      <c r="D201" s="45">
        <v>0.12287246155234656</v>
      </c>
      <c r="E201" s="45">
        <v>1.1311272563176895</v>
      </c>
      <c r="F201" s="45">
        <v>1.7302564981949458</v>
      </c>
      <c r="G201" s="45">
        <v>0</v>
      </c>
      <c r="H201" s="45">
        <v>0</v>
      </c>
      <c r="I201" s="45">
        <v>0</v>
      </c>
      <c r="J201" s="45">
        <v>0</v>
      </c>
      <c r="K201" s="45">
        <v>1.42</v>
      </c>
      <c r="L201" s="45">
        <v>0.46</v>
      </c>
      <c r="M201" s="45">
        <v>1.51</v>
      </c>
      <c r="N201" s="45">
        <v>0</v>
      </c>
      <c r="O201" s="45">
        <v>3.2000000000000001E-2</v>
      </c>
      <c r="P201" s="100"/>
      <c r="Q201" s="5"/>
      <c r="R201" s="5"/>
      <c r="S201" s="5"/>
      <c r="T201" s="5"/>
    </row>
    <row r="202" spans="1:20" ht="15" x14ac:dyDescent="0.25">
      <c r="B202" s="3">
        <v>2040</v>
      </c>
      <c r="C202" s="45">
        <v>0.36168632057761729</v>
      </c>
      <c r="D202" s="45">
        <v>0.12287246155234656</v>
      </c>
      <c r="E202" s="45">
        <v>1.1311272563176895</v>
      </c>
      <c r="F202" s="45">
        <v>1.7302564981949458</v>
      </c>
      <c r="G202" s="45">
        <v>0</v>
      </c>
      <c r="H202" s="45">
        <v>0</v>
      </c>
      <c r="I202" s="45">
        <v>0</v>
      </c>
      <c r="J202" s="45">
        <v>0</v>
      </c>
      <c r="K202" s="45">
        <v>1.42</v>
      </c>
      <c r="L202" s="45">
        <v>0.46</v>
      </c>
      <c r="M202" s="45">
        <v>1.51</v>
      </c>
      <c r="N202" s="45">
        <v>0</v>
      </c>
      <c r="O202" s="45">
        <v>3.2000000000000001E-2</v>
      </c>
      <c r="P202" s="100"/>
      <c r="Q202" s="5"/>
      <c r="R202" s="5"/>
      <c r="S202" s="5"/>
      <c r="T202" s="5"/>
    </row>
    <row r="203" spans="1:20" ht="15" x14ac:dyDescent="0.25">
      <c r="B203" s="3">
        <v>2050</v>
      </c>
      <c r="C203" s="45">
        <v>0.36168632057761729</v>
      </c>
      <c r="D203" s="45">
        <v>0.12287246155234656</v>
      </c>
      <c r="E203" s="45">
        <v>1.1311272563176895</v>
      </c>
      <c r="F203" s="45">
        <v>1.7302564981949458</v>
      </c>
      <c r="G203" s="45">
        <v>0</v>
      </c>
      <c r="H203" s="45">
        <v>0</v>
      </c>
      <c r="I203" s="45">
        <v>0</v>
      </c>
      <c r="J203" s="45">
        <v>0</v>
      </c>
      <c r="K203" s="45">
        <v>1.42</v>
      </c>
      <c r="L203" s="45">
        <v>0.46</v>
      </c>
      <c r="M203" s="45">
        <v>1.51</v>
      </c>
      <c r="N203" s="45">
        <v>0</v>
      </c>
      <c r="O203" s="45">
        <v>3.2000000000000001E-2</v>
      </c>
      <c r="P203" s="100"/>
      <c r="Q203" s="5"/>
      <c r="R203" s="5"/>
      <c r="S203" s="5"/>
      <c r="T203" s="5"/>
    </row>
    <row r="204" spans="1:20" s="58" customFormat="1" ht="15" x14ac:dyDescent="0.25">
      <c r="B204" s="67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</row>
    <row r="205" spans="1:20" ht="30" x14ac:dyDescent="0.25">
      <c r="B205" s="43" t="s">
        <v>22</v>
      </c>
      <c r="C205" s="43" t="s">
        <v>0</v>
      </c>
      <c r="D205" s="43" t="s">
        <v>1</v>
      </c>
      <c r="E205" s="43" t="s">
        <v>28</v>
      </c>
      <c r="F205" s="2" t="s">
        <v>29</v>
      </c>
      <c r="G205" s="2" t="s">
        <v>6</v>
      </c>
      <c r="H205" s="43" t="s">
        <v>2</v>
      </c>
      <c r="I205" s="43" t="s">
        <v>3</v>
      </c>
      <c r="J205" s="43" t="s">
        <v>4</v>
      </c>
      <c r="K205" s="43" t="s">
        <v>9</v>
      </c>
      <c r="L205" s="43" t="s">
        <v>8</v>
      </c>
      <c r="M205" s="43" t="s">
        <v>25</v>
      </c>
      <c r="N205" s="43" t="s">
        <v>7</v>
      </c>
      <c r="O205" s="43" t="s">
        <v>89</v>
      </c>
      <c r="P205" s="25"/>
      <c r="Q205" s="43" t="s">
        <v>5</v>
      </c>
      <c r="R205" s="43" t="s">
        <v>91</v>
      </c>
      <c r="T205" s="43" t="s">
        <v>10</v>
      </c>
    </row>
    <row r="206" spans="1:20" ht="15" x14ac:dyDescent="0.25">
      <c r="A206" s="15">
        <f>C176+C186</f>
        <v>99.425576517077502</v>
      </c>
      <c r="B206" s="3">
        <v>2016</v>
      </c>
      <c r="C206" s="19">
        <f t="shared" ref="C206:O206" si="72">((C196+C192)*C16+C200*C46*1000)/1000000</f>
        <v>0</v>
      </c>
      <c r="D206" s="19">
        <f t="shared" si="72"/>
        <v>0</v>
      </c>
      <c r="E206" s="19">
        <f t="shared" si="72"/>
        <v>0</v>
      </c>
      <c r="F206" s="19">
        <f t="shared" si="72"/>
        <v>0</v>
      </c>
      <c r="G206" s="19">
        <f t="shared" si="72"/>
        <v>0</v>
      </c>
      <c r="H206" s="19">
        <f t="shared" si="72"/>
        <v>0</v>
      </c>
      <c r="I206" s="19">
        <f t="shared" si="72"/>
        <v>0</v>
      </c>
      <c r="J206" s="19">
        <f t="shared" si="72"/>
        <v>0</v>
      </c>
      <c r="K206" s="19">
        <f t="shared" si="72"/>
        <v>0</v>
      </c>
      <c r="L206" s="19">
        <f t="shared" si="72"/>
        <v>0</v>
      </c>
      <c r="M206" s="19">
        <f t="shared" si="72"/>
        <v>0</v>
      </c>
      <c r="N206" s="19">
        <f t="shared" si="72"/>
        <v>0</v>
      </c>
      <c r="O206" s="19">
        <f t="shared" si="72"/>
        <v>0</v>
      </c>
      <c r="P206" s="62"/>
      <c r="Q206" s="39">
        <f>G206+N206</f>
        <v>0</v>
      </c>
      <c r="R206" s="5">
        <f>SUM(K206:L206)</f>
        <v>0</v>
      </c>
      <c r="T206" s="5">
        <f>SUM(C206:O206)</f>
        <v>0</v>
      </c>
    </row>
    <row r="207" spans="1:20" ht="15" x14ac:dyDescent="0.25">
      <c r="A207" s="15">
        <f t="shared" ref="A207:A209" si="73">C177+C187</f>
        <v>139.91112687535042</v>
      </c>
      <c r="B207" s="3">
        <v>2030</v>
      </c>
      <c r="C207" s="19">
        <f t="shared" ref="C207:O207" si="74">((C197+C193)*C17+C201*C47*1000)/1000000</f>
        <v>0</v>
      </c>
      <c r="D207" s="19">
        <f t="shared" si="74"/>
        <v>0</v>
      </c>
      <c r="E207" s="19">
        <f t="shared" si="74"/>
        <v>0</v>
      </c>
      <c r="F207" s="19">
        <f t="shared" si="74"/>
        <v>2.1241031346744648</v>
      </c>
      <c r="G207" s="19">
        <f t="shared" si="74"/>
        <v>0</v>
      </c>
      <c r="H207" s="19">
        <f t="shared" si="74"/>
        <v>22.610600000000002</v>
      </c>
      <c r="I207" s="19">
        <f t="shared" si="74"/>
        <v>0</v>
      </c>
      <c r="J207" s="19">
        <f t="shared" si="74"/>
        <v>22.776800000000001</v>
      </c>
      <c r="K207" s="19">
        <f t="shared" si="74"/>
        <v>0</v>
      </c>
      <c r="L207" s="19">
        <f t="shared" si="74"/>
        <v>0</v>
      </c>
      <c r="M207" s="19">
        <f t="shared" si="74"/>
        <v>0</v>
      </c>
      <c r="N207" s="19">
        <f t="shared" si="74"/>
        <v>0.84233122663089777</v>
      </c>
      <c r="O207" s="19">
        <f t="shared" si="74"/>
        <v>13.094063097063705</v>
      </c>
      <c r="P207" s="62"/>
      <c r="Q207" s="39">
        <f>G207+N207</f>
        <v>0.84233122663089777</v>
      </c>
      <c r="R207" s="5">
        <f>SUM(K207:L207)</f>
        <v>0</v>
      </c>
      <c r="T207" s="5">
        <f t="shared" ref="T207:T209" si="75">SUM(C207:O207)</f>
        <v>61.44789745836907</v>
      </c>
    </row>
    <row r="208" spans="1:20" ht="15" x14ac:dyDescent="0.25">
      <c r="A208" s="15">
        <f t="shared" si="73"/>
        <v>89.610892475023945</v>
      </c>
      <c r="B208" s="3">
        <v>2040</v>
      </c>
      <c r="C208" s="19">
        <f t="shared" ref="C208:O208" si="76">((C198+C194)*C18+C202*C48*1000)/1000000</f>
        <v>0</v>
      </c>
      <c r="D208" s="19">
        <f t="shared" si="76"/>
        <v>0</v>
      </c>
      <c r="E208" s="19">
        <f t="shared" si="76"/>
        <v>10.805305782057365</v>
      </c>
      <c r="F208" s="19">
        <f t="shared" si="76"/>
        <v>22.563951414856355</v>
      </c>
      <c r="G208" s="19">
        <f t="shared" si="76"/>
        <v>0</v>
      </c>
      <c r="H208" s="19">
        <f t="shared" si="76"/>
        <v>71.362099999999998</v>
      </c>
      <c r="I208" s="19">
        <f t="shared" si="76"/>
        <v>0</v>
      </c>
      <c r="J208" s="19">
        <f t="shared" si="76"/>
        <v>63.353400000000001</v>
      </c>
      <c r="K208" s="19">
        <f t="shared" si="76"/>
        <v>0</v>
      </c>
      <c r="L208" s="19">
        <f t="shared" si="76"/>
        <v>0</v>
      </c>
      <c r="M208" s="19">
        <f t="shared" si="76"/>
        <v>0</v>
      </c>
      <c r="N208" s="19">
        <f t="shared" si="76"/>
        <v>0.84233122663089777</v>
      </c>
      <c r="O208" s="19">
        <f t="shared" si="76"/>
        <v>23.166888266420081</v>
      </c>
      <c r="P208" s="62"/>
      <c r="Q208" s="39">
        <f>G208+N208</f>
        <v>0.84233122663089777</v>
      </c>
      <c r="R208" s="5">
        <f>SUM(K208:L208)</f>
        <v>0</v>
      </c>
      <c r="T208" s="5">
        <f t="shared" si="75"/>
        <v>192.09397668996471</v>
      </c>
    </row>
    <row r="209" spans="1:25" ht="15" x14ac:dyDescent="0.25">
      <c r="A209" s="15">
        <f t="shared" si="73"/>
        <v>70.449046827508596</v>
      </c>
      <c r="B209" s="3">
        <v>2050</v>
      </c>
      <c r="C209" s="19">
        <f t="shared" ref="C209:O209" si="77">((C199+C195)*C19+C203*C49*1000)/1000000</f>
        <v>0</v>
      </c>
      <c r="D209" s="19">
        <f t="shared" si="77"/>
        <v>0</v>
      </c>
      <c r="E209" s="19">
        <f t="shared" si="77"/>
        <v>34.364322131965871</v>
      </c>
      <c r="F209" s="19">
        <f t="shared" si="77"/>
        <v>39.645641573964191</v>
      </c>
      <c r="G209" s="19">
        <f t="shared" si="77"/>
        <v>0</v>
      </c>
      <c r="H209" s="19">
        <f t="shared" si="77"/>
        <v>112.3389</v>
      </c>
      <c r="I209" s="19">
        <f t="shared" si="77"/>
        <v>0</v>
      </c>
      <c r="J209" s="19">
        <f t="shared" si="77"/>
        <v>73.010800000000003</v>
      </c>
      <c r="K209" s="19">
        <f t="shared" si="77"/>
        <v>0</v>
      </c>
      <c r="L209" s="19">
        <f t="shared" si="77"/>
        <v>0</v>
      </c>
      <c r="M209" s="19">
        <f t="shared" si="77"/>
        <v>0</v>
      </c>
      <c r="N209" s="19">
        <f t="shared" si="77"/>
        <v>0.84233122663089777</v>
      </c>
      <c r="O209" s="19">
        <f t="shared" si="77"/>
        <v>29.656889968330912</v>
      </c>
      <c r="P209" s="62"/>
      <c r="Q209" s="39">
        <f>G209+N209</f>
        <v>0.84233122663089777</v>
      </c>
      <c r="R209" s="5">
        <f>SUM(K209:L209)</f>
        <v>0</v>
      </c>
      <c r="T209" s="5">
        <f t="shared" si="75"/>
        <v>289.85888490089189</v>
      </c>
    </row>
    <row r="210" spans="1:25" ht="15" x14ac:dyDescent="0.25"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69"/>
    </row>
    <row r="211" spans="1:25" ht="75" x14ac:dyDescent="0.25">
      <c r="B211" s="43" t="s">
        <v>23</v>
      </c>
      <c r="C211" s="43" t="s">
        <v>0</v>
      </c>
      <c r="D211" s="43" t="s">
        <v>1</v>
      </c>
      <c r="E211" s="43" t="s">
        <v>28</v>
      </c>
      <c r="F211" s="2" t="s">
        <v>29</v>
      </c>
      <c r="G211" s="2" t="s">
        <v>6</v>
      </c>
      <c r="H211" s="43" t="s">
        <v>2</v>
      </c>
      <c r="I211" s="43" t="s">
        <v>3</v>
      </c>
      <c r="J211" s="43" t="s">
        <v>4</v>
      </c>
      <c r="K211" s="43" t="s">
        <v>9</v>
      </c>
      <c r="L211" s="43" t="s">
        <v>8</v>
      </c>
      <c r="M211" s="43" t="s">
        <v>25</v>
      </c>
      <c r="N211" s="43" t="s">
        <v>7</v>
      </c>
      <c r="O211" s="43" t="s">
        <v>89</v>
      </c>
      <c r="P211" s="25"/>
      <c r="Q211" s="43" t="s">
        <v>5</v>
      </c>
      <c r="R211" s="43" t="s">
        <v>91</v>
      </c>
      <c r="T211" s="43" t="s">
        <v>10</v>
      </c>
      <c r="U211" s="41" t="s">
        <v>86</v>
      </c>
      <c r="V211" s="43" t="s">
        <v>92</v>
      </c>
      <c r="W211" s="43" t="s">
        <v>93</v>
      </c>
      <c r="X211" s="25" t="s">
        <v>26</v>
      </c>
      <c r="Y211" s="25" t="s">
        <v>27</v>
      </c>
    </row>
    <row r="212" spans="1:25" ht="15" x14ac:dyDescent="0.25">
      <c r="B212" s="3">
        <v>2016</v>
      </c>
      <c r="C212" s="19">
        <f>C176+C186+C206</f>
        <v>99.425576517077502</v>
      </c>
      <c r="D212" s="19">
        <f t="shared" ref="D212:O215" si="78">D176+D186+D206</f>
        <v>3.0206166863931165</v>
      </c>
      <c r="E212" s="19">
        <f t="shared" si="78"/>
        <v>0.71827291818882821</v>
      </c>
      <c r="F212" s="19">
        <f t="shared" si="78"/>
        <v>5.6112431781664789</v>
      </c>
      <c r="G212" s="19">
        <f t="shared" si="78"/>
        <v>4.7397372806457199</v>
      </c>
      <c r="H212" s="19">
        <f t="shared" si="78"/>
        <v>3.7406611452973988</v>
      </c>
      <c r="I212" s="19">
        <f t="shared" si="78"/>
        <v>2.7313107545794142</v>
      </c>
      <c r="J212" s="19">
        <f t="shared" si="78"/>
        <v>4.4864465988215327</v>
      </c>
      <c r="K212" s="19">
        <f t="shared" si="78"/>
        <v>0</v>
      </c>
      <c r="L212" s="19">
        <f t="shared" si="78"/>
        <v>2.6131623050841757</v>
      </c>
      <c r="M212" s="19">
        <f t="shared" si="78"/>
        <v>0</v>
      </c>
      <c r="N212" s="19">
        <f t="shared" si="78"/>
        <v>0.46729964879989472</v>
      </c>
      <c r="O212" s="19">
        <f t="shared" si="78"/>
        <v>0</v>
      </c>
      <c r="P212" s="62"/>
      <c r="Q212" s="5">
        <f>G212+N212</f>
        <v>5.2070369294456142</v>
      </c>
      <c r="R212" s="5">
        <f>SUM(K212:L212)</f>
        <v>2.6131623050841757</v>
      </c>
      <c r="S212" s="5"/>
      <c r="T212" s="46">
        <f>SUM(C212:O212)</f>
        <v>127.55432703305404</v>
      </c>
      <c r="U212" s="39">
        <f>T212+T128*Inputs_Summary!J64/1000</f>
        <v>152.9417183439752</v>
      </c>
      <c r="V212" s="39">
        <f>T212+Inputs_Summary!$J$62*Inputs_Summary!J72/1000</f>
        <v>200.18042703305403</v>
      </c>
      <c r="W212" s="39">
        <f>V212+(U212-T212)</f>
        <v>225.5678183439752</v>
      </c>
      <c r="X212" s="75">
        <f>T212-'HC-BC'!T212</f>
        <v>-2.44606645697543</v>
      </c>
      <c r="Y212" s="76">
        <f>T212-'HC-CB'!T212</f>
        <v>0</v>
      </c>
    </row>
    <row r="213" spans="1:25" ht="15" x14ac:dyDescent="0.25">
      <c r="B213" s="3">
        <v>2030</v>
      </c>
      <c r="C213" s="19">
        <f>C177+C187+C207</f>
        <v>139.91112687535042</v>
      </c>
      <c r="D213" s="19">
        <f t="shared" si="78"/>
        <v>3.0058417448943162</v>
      </c>
      <c r="E213" s="19">
        <f t="shared" si="78"/>
        <v>2.1299949365524173</v>
      </c>
      <c r="F213" s="19">
        <f t="shared" si="78"/>
        <v>3.9277317836033836</v>
      </c>
      <c r="G213" s="19">
        <f t="shared" si="78"/>
        <v>4.1329715456782239</v>
      </c>
      <c r="H213" s="19">
        <f t="shared" si="78"/>
        <v>32.835428800589668</v>
      </c>
      <c r="I213" s="19">
        <f t="shared" si="78"/>
        <v>12.435108065157928</v>
      </c>
      <c r="J213" s="19">
        <f t="shared" si="78"/>
        <v>29.119626871624838</v>
      </c>
      <c r="K213" s="19">
        <f t="shared" si="78"/>
        <v>0.30655558822304102</v>
      </c>
      <c r="L213" s="19">
        <f t="shared" si="78"/>
        <v>4.2189323106335763</v>
      </c>
      <c r="M213" s="19">
        <f t="shared" si="78"/>
        <v>0</v>
      </c>
      <c r="N213" s="19">
        <f t="shared" si="78"/>
        <v>4.58559465058398</v>
      </c>
      <c r="O213" s="19">
        <f t="shared" si="78"/>
        <v>13.094063097063705</v>
      </c>
      <c r="P213" s="62"/>
      <c r="Q213" s="5">
        <f>G213+N213</f>
        <v>8.7185661962622039</v>
      </c>
      <c r="R213" s="5">
        <f>SUM(K213:L213)</f>
        <v>4.5254878988566176</v>
      </c>
      <c r="S213" s="5"/>
      <c r="T213" s="46">
        <f t="shared" ref="T213:T215" si="79">SUM(C213:O213)</f>
        <v>249.70297626995543</v>
      </c>
      <c r="U213" s="39">
        <f>T213+T129*Inputs_Summary!J65/1000</f>
        <v>274.42909732809835</v>
      </c>
      <c r="V213" s="39">
        <f>T213+Inputs_Summary!$J$62*Inputs_Summary!J73/1000</f>
        <v>352.76137626995541</v>
      </c>
      <c r="W213" s="39">
        <f t="shared" ref="W213:W215" si="80">V213+(U213-T213)</f>
        <v>377.48749732809836</v>
      </c>
      <c r="X213" s="75">
        <f>T213-'HC-BC'!T213</f>
        <v>-31.520255885172759</v>
      </c>
      <c r="Y213" s="76">
        <f>T213-'HC-CB'!T213</f>
        <v>-50.661353731627486</v>
      </c>
    </row>
    <row r="214" spans="1:25" ht="15" x14ac:dyDescent="0.25">
      <c r="B214" s="3">
        <v>2040</v>
      </c>
      <c r="C214" s="19">
        <f>C178+C188+C208</f>
        <v>89.610892475023945</v>
      </c>
      <c r="D214" s="19">
        <f t="shared" si="78"/>
        <v>2.9401840638324712</v>
      </c>
      <c r="E214" s="19">
        <f t="shared" si="78"/>
        <v>12.963592487206952</v>
      </c>
      <c r="F214" s="19">
        <f t="shared" si="78"/>
        <v>23.052176061733181</v>
      </c>
      <c r="G214" s="19">
        <f t="shared" si="78"/>
        <v>3.8496024853179058</v>
      </c>
      <c r="H214" s="19">
        <f t="shared" si="78"/>
        <v>71.362099999999998</v>
      </c>
      <c r="I214" s="19">
        <f t="shared" si="78"/>
        <v>12.494121843672534</v>
      </c>
      <c r="J214" s="19">
        <f t="shared" si="78"/>
        <v>66.566974785756344</v>
      </c>
      <c r="K214" s="19">
        <f t="shared" si="78"/>
        <v>0.30660777594239025</v>
      </c>
      <c r="L214" s="19">
        <f t="shared" si="78"/>
        <v>4.2559999675202782</v>
      </c>
      <c r="M214" s="19">
        <f t="shared" si="78"/>
        <v>0</v>
      </c>
      <c r="N214" s="19">
        <f t="shared" si="78"/>
        <v>4.6674371898014169</v>
      </c>
      <c r="O214" s="19">
        <f t="shared" si="78"/>
        <v>23.166888266420081</v>
      </c>
      <c r="P214" s="62"/>
      <c r="Q214" s="5">
        <f>G214+N214</f>
        <v>8.5170396751193227</v>
      </c>
      <c r="R214" s="5">
        <f>SUM(K214:L214)</f>
        <v>4.5626077434626682</v>
      </c>
      <c r="S214" s="5"/>
      <c r="T214" s="46">
        <f t="shared" si="79"/>
        <v>315.23657740222751</v>
      </c>
      <c r="U214" s="39">
        <f>T214+T130*Inputs_Summary!J66/1000</f>
        <v>326.21420356452285</v>
      </c>
      <c r="V214" s="39">
        <f>T214+Inputs_Summary!$J$62*Inputs_Summary!J74/1000</f>
        <v>443.76587740222749</v>
      </c>
      <c r="W214" s="39">
        <f t="shared" si="80"/>
        <v>454.74350356452283</v>
      </c>
      <c r="X214" s="75">
        <f>T214-'HC-BC'!T214</f>
        <v>-91.575304616765607</v>
      </c>
      <c r="Y214" s="76">
        <f>T214-'HC-CB'!T214</f>
        <v>-85.824979128558027</v>
      </c>
    </row>
    <row r="215" spans="1:25" ht="15" x14ac:dyDescent="0.25">
      <c r="B215" s="3">
        <v>2050</v>
      </c>
      <c r="C215" s="19">
        <f>C179+C189+C209</f>
        <v>70.449046827508596</v>
      </c>
      <c r="D215" s="19">
        <f t="shared" si="78"/>
        <v>0</v>
      </c>
      <c r="E215" s="19">
        <f t="shared" si="78"/>
        <v>36.490523525277972</v>
      </c>
      <c r="F215" s="19">
        <f t="shared" si="78"/>
        <v>39.645641573964191</v>
      </c>
      <c r="G215" s="19">
        <f t="shared" si="78"/>
        <v>3.6060286065592715</v>
      </c>
      <c r="H215" s="19">
        <f t="shared" si="78"/>
        <v>112.3389</v>
      </c>
      <c r="I215" s="19">
        <f t="shared" si="78"/>
        <v>0</v>
      </c>
      <c r="J215" s="19">
        <f t="shared" si="78"/>
        <v>73.010800000000003</v>
      </c>
      <c r="K215" s="19">
        <f t="shared" si="78"/>
        <v>0</v>
      </c>
      <c r="L215" s="19">
        <f t="shared" si="78"/>
        <v>2.6315310846930933</v>
      </c>
      <c r="M215" s="19">
        <f t="shared" si="78"/>
        <v>0</v>
      </c>
      <c r="N215" s="19">
        <f t="shared" si="78"/>
        <v>4.6839392813718312</v>
      </c>
      <c r="O215" s="19">
        <f t="shared" si="78"/>
        <v>29.656889968330912</v>
      </c>
      <c r="P215" s="62"/>
      <c r="Q215" s="5">
        <f>G215+N215</f>
        <v>8.2899678879311018</v>
      </c>
      <c r="R215" s="5">
        <f>SUM(K215:L215)</f>
        <v>2.6315310846930933</v>
      </c>
      <c r="S215" s="5"/>
      <c r="T215" s="46">
        <f t="shared" si="79"/>
        <v>372.51330086770588</v>
      </c>
      <c r="U215" s="39">
        <f>T215+T131*Inputs_Summary!J67/1000</f>
        <v>379.70747932241295</v>
      </c>
      <c r="V215" s="39">
        <f>T215+Inputs_Summary!$J$62*Inputs_Summary!J75/1000</f>
        <v>528.98100086770592</v>
      </c>
      <c r="W215" s="39">
        <f t="shared" si="80"/>
        <v>536.17517932241299</v>
      </c>
      <c r="X215" s="75">
        <f>T215-'HC-BC'!T215</f>
        <v>-170.66568169019911</v>
      </c>
      <c r="Y215" s="76">
        <f>T215-'HC-CB'!T215</f>
        <v>-159.32148713688446</v>
      </c>
    </row>
    <row r="216" spans="1:25" ht="15" x14ac:dyDescent="0.25">
      <c r="U216" s="11"/>
    </row>
    <row r="217" spans="1:25" ht="15" x14ac:dyDescent="0.25">
      <c r="B217" s="3">
        <v>2016</v>
      </c>
      <c r="C217" s="21">
        <f t="shared" ref="C217:O220" si="81">IFERROR(C212/$T212,0)</f>
        <v>0.77947631279739071</v>
      </c>
      <c r="D217" s="21">
        <f t="shared" si="81"/>
        <v>2.3681020915976948E-2</v>
      </c>
      <c r="E217" s="21">
        <f t="shared" si="81"/>
        <v>5.6311136979515968E-3</v>
      </c>
      <c r="F217" s="21">
        <f t="shared" si="81"/>
        <v>4.3991006096660276E-2</v>
      </c>
      <c r="G217" s="21">
        <f t="shared" si="81"/>
        <v>3.7158576983574054E-2</v>
      </c>
      <c r="H217" s="21">
        <f t="shared" si="81"/>
        <v>2.9326023133092578E-2</v>
      </c>
      <c r="I217" s="21">
        <f t="shared" si="81"/>
        <v>2.1412921208636308E-2</v>
      </c>
      <c r="J217" s="21">
        <f t="shared" si="81"/>
        <v>3.5172829516468919E-2</v>
      </c>
      <c r="K217" s="21">
        <f t="shared" si="81"/>
        <v>0</v>
      </c>
      <c r="L217" s="21">
        <f t="shared" si="81"/>
        <v>2.0486661376897145E-2</v>
      </c>
      <c r="M217" s="21">
        <f t="shared" si="81"/>
        <v>0</v>
      </c>
      <c r="N217" s="21">
        <f t="shared" si="81"/>
        <v>3.6635342733516217E-3</v>
      </c>
      <c r="O217" s="21">
        <f t="shared" si="81"/>
        <v>0</v>
      </c>
      <c r="P217" s="29"/>
      <c r="Q217" s="7">
        <f t="shared" ref="Q217:R220" si="82">IFERROR(Q212/$T212,0)</f>
        <v>4.0822111256925676E-2</v>
      </c>
      <c r="R217" s="7">
        <f t="shared" si="82"/>
        <v>2.0486661376897145E-2</v>
      </c>
      <c r="T217" s="8">
        <f>SUM(C217:O217)</f>
        <v>1.0000000000000002</v>
      </c>
      <c r="U217" s="11"/>
    </row>
    <row r="218" spans="1:25" ht="15" x14ac:dyDescent="0.25">
      <c r="B218" s="3">
        <v>2030</v>
      </c>
      <c r="C218" s="21">
        <f t="shared" si="81"/>
        <v>0.56031020921469366</v>
      </c>
      <c r="D218" s="21">
        <f t="shared" si="81"/>
        <v>1.2037668872815845E-2</v>
      </c>
      <c r="E218" s="21">
        <f t="shared" si="81"/>
        <v>8.530114331715721E-3</v>
      </c>
      <c r="F218" s="21">
        <f t="shared" si="81"/>
        <v>1.5729615410579201E-2</v>
      </c>
      <c r="G218" s="21">
        <f t="shared" si="81"/>
        <v>1.6551550996372757E-2</v>
      </c>
      <c r="H218" s="21">
        <f t="shared" si="81"/>
        <v>0.13149794724549491</v>
      </c>
      <c r="I218" s="21">
        <f t="shared" si="81"/>
        <v>4.979959891112494E-2</v>
      </c>
      <c r="J218" s="21">
        <f t="shared" si="81"/>
        <v>0.11661705962264314</v>
      </c>
      <c r="K218" s="21">
        <f t="shared" si="81"/>
        <v>1.2276809543976836E-3</v>
      </c>
      <c r="L218" s="21">
        <f t="shared" si="81"/>
        <v>1.6895803060322609E-2</v>
      </c>
      <c r="M218" s="21">
        <f t="shared" si="81"/>
        <v>0</v>
      </c>
      <c r="N218" s="21">
        <f t="shared" si="81"/>
        <v>1.8364197011518459E-2</v>
      </c>
      <c r="O218" s="21">
        <f t="shared" si="81"/>
        <v>5.2438554368321316E-2</v>
      </c>
      <c r="P218" s="29"/>
      <c r="Q218" s="7">
        <f t="shared" si="82"/>
        <v>3.4915748007891219E-2</v>
      </c>
      <c r="R218" s="7">
        <f t="shared" si="82"/>
        <v>1.8123484014720293E-2</v>
      </c>
      <c r="T218" s="8">
        <f t="shared" ref="T218:T220" si="83">SUM(C218:O218)</f>
        <v>1.0000000000000002</v>
      </c>
      <c r="U218" s="11"/>
    </row>
    <row r="219" spans="1:25" ht="15" x14ac:dyDescent="0.25">
      <c r="B219" s="3">
        <v>2040</v>
      </c>
      <c r="C219" s="21">
        <f t="shared" si="81"/>
        <v>0.28426552912571607</v>
      </c>
      <c r="D219" s="21">
        <f t="shared" si="81"/>
        <v>9.3269127842386459E-3</v>
      </c>
      <c r="E219" s="21">
        <f t="shared" si="81"/>
        <v>4.112337658921477E-2</v>
      </c>
      <c r="F219" s="21">
        <f t="shared" si="81"/>
        <v>7.3126590358579033E-2</v>
      </c>
      <c r="G219" s="21">
        <f t="shared" si="81"/>
        <v>1.2211788736704841E-2</v>
      </c>
      <c r="H219" s="21">
        <f t="shared" si="81"/>
        <v>0.2263763316683432</v>
      </c>
      <c r="I219" s="21">
        <f t="shared" si="81"/>
        <v>3.9634112090141761E-2</v>
      </c>
      <c r="J219" s="21">
        <f t="shared" si="81"/>
        <v>0.21116513614731933</v>
      </c>
      <c r="K219" s="21">
        <f t="shared" si="81"/>
        <v>9.7262753728978818E-4</v>
      </c>
      <c r="L219" s="21">
        <f t="shared" si="81"/>
        <v>1.3500971247032086E-2</v>
      </c>
      <c r="M219" s="21">
        <f t="shared" si="81"/>
        <v>0</v>
      </c>
      <c r="N219" s="21">
        <f t="shared" si="81"/>
        <v>1.4806140925220044E-2</v>
      </c>
      <c r="O219" s="21">
        <f t="shared" si="81"/>
        <v>7.3490482790200415E-2</v>
      </c>
      <c r="P219" s="29"/>
      <c r="Q219" s="7">
        <f t="shared" si="82"/>
        <v>2.7017929661924886E-2</v>
      </c>
      <c r="R219" s="7">
        <f t="shared" si="82"/>
        <v>1.4473598784321874E-2</v>
      </c>
      <c r="T219" s="8">
        <f t="shared" si="83"/>
        <v>1</v>
      </c>
      <c r="U219" s="11"/>
    </row>
    <row r="220" spans="1:25" ht="15" x14ac:dyDescent="0.25">
      <c r="B220" s="3">
        <v>2050</v>
      </c>
      <c r="C220" s="21">
        <f t="shared" si="81"/>
        <v>0.18911820507726734</v>
      </c>
      <c r="D220" s="21">
        <f t="shared" si="81"/>
        <v>0</v>
      </c>
      <c r="E220" s="21">
        <f t="shared" si="81"/>
        <v>9.7957639204505051E-2</v>
      </c>
      <c r="F220" s="21">
        <f t="shared" si="81"/>
        <v>0.10642745233959824</v>
      </c>
      <c r="G220" s="21">
        <f t="shared" si="81"/>
        <v>9.680268055287277E-3</v>
      </c>
      <c r="H220" s="21">
        <f t="shared" si="81"/>
        <v>0.3015701714229419</v>
      </c>
      <c r="I220" s="21">
        <f t="shared" si="81"/>
        <v>0</v>
      </c>
      <c r="J220" s="21">
        <f t="shared" si="81"/>
        <v>0.19599514924684261</v>
      </c>
      <c r="K220" s="21">
        <f t="shared" si="81"/>
        <v>0</v>
      </c>
      <c r="L220" s="21">
        <f t="shared" si="81"/>
        <v>7.0642607352902368E-3</v>
      </c>
      <c r="M220" s="21">
        <f t="shared" si="81"/>
        <v>0</v>
      </c>
      <c r="N220" s="21">
        <f t="shared" si="81"/>
        <v>1.2573884665222416E-2</v>
      </c>
      <c r="O220" s="21">
        <f t="shared" si="81"/>
        <v>7.9612969253044841E-2</v>
      </c>
      <c r="P220" s="29"/>
      <c r="Q220" s="7">
        <f t="shared" si="82"/>
        <v>2.2254152720509689E-2</v>
      </c>
      <c r="R220" s="7">
        <f t="shared" si="82"/>
        <v>7.0642607352902368E-3</v>
      </c>
      <c r="T220" s="8">
        <f t="shared" si="83"/>
        <v>0.99999999999999989</v>
      </c>
    </row>
    <row r="222" spans="1:25" s="9" customFormat="1" ht="21" x14ac:dyDescent="0.35">
      <c r="B222" s="10" t="s">
        <v>51</v>
      </c>
    </row>
    <row r="223" spans="1:25" s="32" customFormat="1" ht="21" x14ac:dyDescent="0.35">
      <c r="B223" s="31"/>
      <c r="C223" s="40"/>
      <c r="D223" s="40"/>
      <c r="E223" s="40"/>
      <c r="P223" s="58"/>
    </row>
    <row r="224" spans="1:25" ht="30" x14ac:dyDescent="0.25">
      <c r="B224" s="43" t="s">
        <v>48</v>
      </c>
      <c r="C224" s="43" t="s">
        <v>0</v>
      </c>
      <c r="D224" s="43" t="s">
        <v>1</v>
      </c>
      <c r="E224" s="43" t="s">
        <v>28</v>
      </c>
      <c r="F224" s="2" t="s">
        <v>29</v>
      </c>
      <c r="G224" s="2" t="s">
        <v>6</v>
      </c>
      <c r="H224" s="43" t="s">
        <v>2</v>
      </c>
      <c r="I224" s="43" t="s">
        <v>3</v>
      </c>
      <c r="J224" s="43" t="s">
        <v>4</v>
      </c>
      <c r="K224" s="43" t="s">
        <v>9</v>
      </c>
      <c r="L224" s="43" t="s">
        <v>8</v>
      </c>
      <c r="M224" s="43" t="s">
        <v>25</v>
      </c>
      <c r="N224" s="43" t="s">
        <v>7</v>
      </c>
      <c r="O224" s="43" t="s">
        <v>89</v>
      </c>
      <c r="P224" s="25"/>
      <c r="Q224" s="43" t="s">
        <v>5</v>
      </c>
      <c r="R224" s="43" t="s">
        <v>91</v>
      </c>
      <c r="T224" s="42"/>
    </row>
    <row r="225" spans="2:20" ht="15" x14ac:dyDescent="0.25">
      <c r="B225" s="3">
        <v>2016</v>
      </c>
      <c r="C225" s="48">
        <f t="shared" ref="C225:O225" si="84">IFERROR(C176/C34*1000,"")</f>
        <v>0.48989471926362094</v>
      </c>
      <c r="D225" s="48">
        <f t="shared" si="84"/>
        <v>0.20487259277908632</v>
      </c>
      <c r="E225" s="48">
        <f t="shared" si="84"/>
        <v>0.95000000000000007</v>
      </c>
      <c r="F225" s="48">
        <f t="shared" si="84"/>
        <v>2.7719237674542714</v>
      </c>
      <c r="G225" s="48">
        <f t="shared" si="84"/>
        <v>0.30000000000000004</v>
      </c>
      <c r="H225" s="48">
        <f t="shared" si="84"/>
        <v>0.93</v>
      </c>
      <c r="I225" s="48">
        <f t="shared" si="84"/>
        <v>3.2999999999999994</v>
      </c>
      <c r="J225" s="48">
        <f t="shared" si="84"/>
        <v>1.6999999999999997</v>
      </c>
      <c r="K225" s="48" t="str">
        <f t="shared" si="84"/>
        <v/>
      </c>
      <c r="L225" s="48">
        <f t="shared" si="84"/>
        <v>1.6499999999999997</v>
      </c>
      <c r="M225" s="48" t="str">
        <f t="shared" si="84"/>
        <v/>
      </c>
      <c r="N225" s="48">
        <f t="shared" si="84"/>
        <v>0.15605822366857675</v>
      </c>
      <c r="O225" s="48" t="str">
        <f t="shared" si="84"/>
        <v/>
      </c>
      <c r="P225" s="53"/>
      <c r="T225" s="42">
        <f>IFERROR(T176/Inputs_Summary!I72*1000,"")</f>
        <v>0.51041383896307546</v>
      </c>
    </row>
    <row r="226" spans="2:20" ht="15" x14ac:dyDescent="0.25">
      <c r="B226" s="3">
        <v>2030</v>
      </c>
      <c r="C226" s="48">
        <f t="shared" ref="C226:O226" si="85">IFERROR(C177/C35*1000,"")</f>
        <v>0.49205234518957874</v>
      </c>
      <c r="D226" s="48">
        <f t="shared" si="85"/>
        <v>0.20554685758020835</v>
      </c>
      <c r="E226" s="48">
        <f t="shared" si="85"/>
        <v>0.94999999999999973</v>
      </c>
      <c r="F226" s="48">
        <f t="shared" si="85"/>
        <v>3.4466920487774346</v>
      </c>
      <c r="G226" s="48">
        <f t="shared" si="85"/>
        <v>0.3</v>
      </c>
      <c r="H226" s="48">
        <f t="shared" si="85"/>
        <v>0.93</v>
      </c>
      <c r="I226" s="48">
        <f t="shared" si="85"/>
        <v>3.3</v>
      </c>
      <c r="J226" s="48">
        <f t="shared" si="85"/>
        <v>1.7</v>
      </c>
      <c r="K226" s="48" t="str">
        <f t="shared" si="85"/>
        <v/>
      </c>
      <c r="L226" s="48">
        <f t="shared" si="85"/>
        <v>1.6499999999999997</v>
      </c>
      <c r="M226" s="48" t="str">
        <f t="shared" si="85"/>
        <v/>
      </c>
      <c r="N226" s="48">
        <f t="shared" si="85"/>
        <v>0.33174978200705457</v>
      </c>
      <c r="O226" s="48" t="str">
        <f t="shared" si="85"/>
        <v/>
      </c>
      <c r="P226" s="53"/>
      <c r="T226" s="42">
        <f>IFERROR(T177/T35*1000,"")</f>
        <v>0.52174595624179032</v>
      </c>
    </row>
    <row r="227" spans="2:20" ht="15" x14ac:dyDescent="0.25">
      <c r="B227" s="3">
        <v>2040</v>
      </c>
      <c r="C227" s="48">
        <f t="shared" ref="C227:O227" si="86">IFERROR(C178/C36*1000,"")</f>
        <v>0.59607433650192387</v>
      </c>
      <c r="D227" s="48">
        <f t="shared" si="86"/>
        <v>0.20868240465448148</v>
      </c>
      <c r="E227" s="48">
        <f t="shared" si="86"/>
        <v>0.94999999999999973</v>
      </c>
      <c r="F227" s="48">
        <f t="shared" si="86"/>
        <v>3.739240664189063</v>
      </c>
      <c r="G227" s="48">
        <f t="shared" si="86"/>
        <v>0.3</v>
      </c>
      <c r="H227" s="48" t="str">
        <f t="shared" si="86"/>
        <v/>
      </c>
      <c r="I227" s="48">
        <f t="shared" si="86"/>
        <v>3.3</v>
      </c>
      <c r="J227" s="48">
        <f t="shared" si="86"/>
        <v>1.7000000000000004</v>
      </c>
      <c r="K227" s="48" t="str">
        <f t="shared" si="86"/>
        <v/>
      </c>
      <c r="L227" s="48">
        <f t="shared" si="86"/>
        <v>1.65</v>
      </c>
      <c r="M227" s="48" t="str">
        <f t="shared" si="86"/>
        <v/>
      </c>
      <c r="N227" s="48">
        <f t="shared" si="86"/>
        <v>0.16489781905624079</v>
      </c>
      <c r="O227" s="48" t="str">
        <f t="shared" si="86"/>
        <v/>
      </c>
      <c r="P227" s="53"/>
      <c r="T227" s="42">
        <f>IFERROR(T178/T36*1000,"")</f>
        <v>0.52915810739258851</v>
      </c>
    </row>
    <row r="228" spans="2:20" ht="15" x14ac:dyDescent="0.25">
      <c r="B228" s="3">
        <v>2050</v>
      </c>
      <c r="C228" s="48" t="str">
        <f t="shared" ref="C228:O228" si="87">IFERROR(C179/C37*1000,"")</f>
        <v/>
      </c>
      <c r="D228" s="48" t="str">
        <f t="shared" si="87"/>
        <v/>
      </c>
      <c r="E228" s="48">
        <f t="shared" si="87"/>
        <v>0.95</v>
      </c>
      <c r="F228" s="48" t="str">
        <f t="shared" si="87"/>
        <v/>
      </c>
      <c r="G228" s="48">
        <f t="shared" si="87"/>
        <v>0.30000000000000004</v>
      </c>
      <c r="H228" s="48" t="str">
        <f t="shared" si="87"/>
        <v/>
      </c>
      <c r="I228" s="48" t="str">
        <f t="shared" si="87"/>
        <v/>
      </c>
      <c r="J228" s="48" t="str">
        <f t="shared" si="87"/>
        <v/>
      </c>
      <c r="K228" s="48" t="str">
        <f t="shared" si="87"/>
        <v/>
      </c>
      <c r="L228" s="48">
        <f t="shared" si="87"/>
        <v>1.6499999999999997</v>
      </c>
      <c r="M228" s="48" t="str">
        <f t="shared" si="87"/>
        <v/>
      </c>
      <c r="N228" s="48">
        <f t="shared" si="87"/>
        <v>0.15264173795410793</v>
      </c>
      <c r="O228" s="48" t="str">
        <f t="shared" si="87"/>
        <v/>
      </c>
      <c r="P228" s="53"/>
      <c r="T228" s="42">
        <f>IFERROR(T179/T37*1000,"")</f>
        <v>0.51852998862950206</v>
      </c>
    </row>
    <row r="229" spans="2:20" ht="15" x14ac:dyDescent="0.25">
      <c r="B229" s="41"/>
    </row>
    <row r="230" spans="2:20" ht="30" x14ac:dyDescent="0.25">
      <c r="B230" s="43" t="s">
        <v>47</v>
      </c>
    </row>
    <row r="231" spans="2:20" ht="15" x14ac:dyDescent="0.25">
      <c r="B231" s="3">
        <v>2016</v>
      </c>
      <c r="C231" s="48" t="str">
        <f t="shared" ref="C231:O231" si="88">IFERROR(C186/C40*1000,"")</f>
        <v/>
      </c>
      <c r="D231" s="48" t="str">
        <f t="shared" si="88"/>
        <v/>
      </c>
      <c r="E231" s="48" t="str">
        <f t="shared" si="88"/>
        <v/>
      </c>
      <c r="F231" s="48" t="str">
        <f t="shared" si="88"/>
        <v/>
      </c>
      <c r="G231" s="48" t="str">
        <f t="shared" si="88"/>
        <v/>
      </c>
      <c r="H231" s="48" t="str">
        <f t="shared" si="88"/>
        <v/>
      </c>
      <c r="I231" s="48" t="str">
        <f t="shared" si="88"/>
        <v/>
      </c>
      <c r="J231" s="48" t="str">
        <f t="shared" si="88"/>
        <v/>
      </c>
      <c r="K231" s="48" t="str">
        <f t="shared" si="88"/>
        <v/>
      </c>
      <c r="L231" s="48" t="str">
        <f t="shared" si="88"/>
        <v/>
      </c>
      <c r="M231" s="48" t="str">
        <f t="shared" si="88"/>
        <v/>
      </c>
      <c r="N231" s="48" t="str">
        <f t="shared" si="88"/>
        <v/>
      </c>
      <c r="O231" s="48" t="str">
        <f t="shared" si="88"/>
        <v/>
      </c>
      <c r="P231" s="53"/>
      <c r="T231" s="42">
        <f>IFERROR(T186/Inputs_Summary!I72*1000,"")</f>
        <v>1.6480736264235584E-2</v>
      </c>
    </row>
    <row r="232" spans="2:20" ht="15" x14ac:dyDescent="0.25">
      <c r="B232" s="3">
        <v>2030</v>
      </c>
      <c r="C232" s="48">
        <f t="shared" ref="C232:O232" si="89">IFERROR(C187/C41*1000,"")</f>
        <v>1.0821406606197892</v>
      </c>
      <c r="D232" s="48" t="str">
        <f t="shared" si="89"/>
        <v/>
      </c>
      <c r="E232" s="48" t="str">
        <f t="shared" si="89"/>
        <v/>
      </c>
      <c r="F232" s="48" t="str">
        <f t="shared" si="89"/>
        <v/>
      </c>
      <c r="G232" s="48">
        <f t="shared" si="89"/>
        <v>1.24</v>
      </c>
      <c r="H232" s="48">
        <f t="shared" si="89"/>
        <v>0.70507456548359615</v>
      </c>
      <c r="I232" s="48">
        <f t="shared" si="89"/>
        <v>2.2907692307692313</v>
      </c>
      <c r="J232" s="48">
        <f t="shared" si="89"/>
        <v>0.79657730380457292</v>
      </c>
      <c r="K232" s="48">
        <f t="shared" si="89"/>
        <v>0.86606898224332007</v>
      </c>
      <c r="L232" s="48">
        <f t="shared" si="89"/>
        <v>1.61</v>
      </c>
      <c r="M232" s="48" t="str">
        <f t="shared" si="89"/>
        <v/>
      </c>
      <c r="N232" s="48">
        <f t="shared" si="89"/>
        <v>2.0971768573367386</v>
      </c>
      <c r="O232" s="48" t="str">
        <f t="shared" si="89"/>
        <v/>
      </c>
      <c r="P232" s="53"/>
      <c r="T232" s="42">
        <f>IFERROR(T187/Inputs_Summary!I73*1000,"")</f>
        <v>0.29865944498421365</v>
      </c>
    </row>
    <row r="233" spans="2:20" ht="15" x14ac:dyDescent="0.25">
      <c r="B233" s="3">
        <v>2040</v>
      </c>
      <c r="C233" s="52">
        <f t="shared" ref="C233:O233" si="90">IFERROR(C188/C42*1000,"")</f>
        <v>1.3033852105072736</v>
      </c>
      <c r="D233" s="52" t="str">
        <f t="shared" si="90"/>
        <v/>
      </c>
      <c r="E233" s="52" t="str">
        <f t="shared" si="90"/>
        <v/>
      </c>
      <c r="F233" s="52" t="str">
        <f t="shared" si="90"/>
        <v/>
      </c>
      <c r="G233" s="52">
        <f t="shared" si="90"/>
        <v>1.24</v>
      </c>
      <c r="H233" s="52" t="str">
        <f t="shared" si="90"/>
        <v/>
      </c>
      <c r="I233" s="52">
        <f t="shared" si="90"/>
        <v>2.2907692307692309</v>
      </c>
      <c r="J233" s="52">
        <f t="shared" si="90"/>
        <v>0.79657730380457292</v>
      </c>
      <c r="K233" s="52">
        <f t="shared" si="90"/>
        <v>0.8647996991371909</v>
      </c>
      <c r="L233" s="52">
        <f t="shared" si="90"/>
        <v>1.61</v>
      </c>
      <c r="M233" s="52" t="str">
        <f t="shared" si="90"/>
        <v/>
      </c>
      <c r="N233" s="52">
        <f t="shared" si="90"/>
        <v>1.2067162657461525</v>
      </c>
      <c r="O233" s="52" t="str">
        <f t="shared" si="90"/>
        <v/>
      </c>
      <c r="P233" s="53"/>
      <c r="T233" s="42">
        <f>IFERROR(T188/Inputs_Summary!I74*1000,"")</f>
        <v>0.2103371539995007</v>
      </c>
    </row>
    <row r="234" spans="2:20" ht="15" x14ac:dyDescent="0.25">
      <c r="B234" s="3">
        <v>2050</v>
      </c>
      <c r="C234" s="55">
        <f t="shared" ref="C234:O234" si="91">IFERROR(C189/C43*1000,"")</f>
        <v>1.4860603012234068</v>
      </c>
      <c r="D234" s="55" t="str">
        <f t="shared" si="91"/>
        <v/>
      </c>
      <c r="E234" s="55" t="str">
        <f t="shared" si="91"/>
        <v/>
      </c>
      <c r="F234" s="55" t="str">
        <f t="shared" si="91"/>
        <v/>
      </c>
      <c r="G234" s="55">
        <f t="shared" si="91"/>
        <v>1.24</v>
      </c>
      <c r="H234" s="55" t="str">
        <f t="shared" si="91"/>
        <v/>
      </c>
      <c r="I234" s="55" t="str">
        <f t="shared" si="91"/>
        <v/>
      </c>
      <c r="J234" s="55" t="str">
        <f t="shared" si="91"/>
        <v/>
      </c>
      <c r="K234" s="55" t="str">
        <f t="shared" si="91"/>
        <v/>
      </c>
      <c r="L234" s="55" t="str">
        <f t="shared" si="91"/>
        <v/>
      </c>
      <c r="M234" s="55" t="str">
        <f t="shared" si="91"/>
        <v/>
      </c>
      <c r="N234" s="55">
        <f t="shared" si="91"/>
        <v>1.142323069179481</v>
      </c>
      <c r="O234" s="55" t="str">
        <f t="shared" si="91"/>
        <v/>
      </c>
      <c r="P234" s="53"/>
      <c r="T234" s="42">
        <f>IFERROR(T189/Inputs_Summary!I75*1000,"")</f>
        <v>0.14048761173664159</v>
      </c>
    </row>
    <row r="235" spans="2:20" s="11" customFormat="1" ht="15" x14ac:dyDescent="0.25"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T235" s="54"/>
    </row>
    <row r="236" spans="2:20" ht="30" x14ac:dyDescent="0.25">
      <c r="B236" s="43" t="s">
        <v>49</v>
      </c>
      <c r="T236" s="42"/>
    </row>
    <row r="237" spans="2:20" ht="15" x14ac:dyDescent="0.25">
      <c r="B237" s="3">
        <v>2016</v>
      </c>
      <c r="C237" s="48" t="str">
        <f t="shared" ref="C237:O237" si="92">IFERROR(C206/C46*1000,"")</f>
        <v/>
      </c>
      <c r="D237" s="48" t="str">
        <f t="shared" si="92"/>
        <v/>
      </c>
      <c r="E237" s="48" t="str">
        <f t="shared" si="92"/>
        <v/>
      </c>
      <c r="F237" s="48" t="str">
        <f t="shared" si="92"/>
        <v/>
      </c>
      <c r="G237" s="48" t="str">
        <f t="shared" si="92"/>
        <v/>
      </c>
      <c r="H237" s="48" t="str">
        <f t="shared" si="92"/>
        <v/>
      </c>
      <c r="I237" s="48" t="str">
        <f t="shared" si="92"/>
        <v/>
      </c>
      <c r="J237" s="48" t="str">
        <f t="shared" si="92"/>
        <v/>
      </c>
      <c r="K237" s="48" t="str">
        <f t="shared" si="92"/>
        <v/>
      </c>
      <c r="L237" s="48" t="str">
        <f t="shared" si="92"/>
        <v/>
      </c>
      <c r="M237" s="48" t="str">
        <f t="shared" si="92"/>
        <v/>
      </c>
      <c r="N237" s="48" t="str">
        <f t="shared" si="92"/>
        <v/>
      </c>
      <c r="O237" s="48" t="str">
        <f t="shared" si="92"/>
        <v/>
      </c>
      <c r="P237" s="53"/>
      <c r="T237" s="42">
        <f>IFERROR(T206/Inputs_Summary!I72*1000,"")</f>
        <v>0</v>
      </c>
    </row>
    <row r="238" spans="2:20" ht="15" x14ac:dyDescent="0.25">
      <c r="B238" s="3">
        <v>2030</v>
      </c>
      <c r="C238" s="48" t="str">
        <f t="shared" ref="C238:O238" si="93">IFERROR(C207/C47*1000,"")</f>
        <v/>
      </c>
      <c r="D238" s="48" t="str">
        <f t="shared" si="93"/>
        <v/>
      </c>
      <c r="E238" s="48" t="str">
        <f t="shared" si="93"/>
        <v/>
      </c>
      <c r="F238" s="48">
        <f t="shared" si="93"/>
        <v>3.2948165888546681</v>
      </c>
      <c r="G238" s="48" t="str">
        <f t="shared" si="93"/>
        <v/>
      </c>
      <c r="H238" s="48">
        <f t="shared" si="93"/>
        <v>0.53829402609269672</v>
      </c>
      <c r="I238" s="48" t="str">
        <f t="shared" si="93"/>
        <v/>
      </c>
      <c r="J238" s="48">
        <f t="shared" si="93"/>
        <v>0.45182626952151705</v>
      </c>
      <c r="K238" s="48" t="str">
        <f t="shared" si="93"/>
        <v/>
      </c>
      <c r="L238" s="48" t="str">
        <f t="shared" si="93"/>
        <v/>
      </c>
      <c r="M238" s="48" t="str">
        <f t="shared" si="93"/>
        <v/>
      </c>
      <c r="N238" s="48">
        <f t="shared" si="93"/>
        <v>1.7494987024922475</v>
      </c>
      <c r="O238" s="48">
        <f t="shared" si="93"/>
        <v>0.83402157686613276</v>
      </c>
      <c r="P238" s="53"/>
      <c r="T238" s="42">
        <f>IFERROR(T207/Inputs_Summary!I73*1000,"")</f>
        <v>0.17887303933993465</v>
      </c>
    </row>
    <row r="239" spans="2:20" ht="15" x14ac:dyDescent="0.25">
      <c r="B239" s="3">
        <v>2040</v>
      </c>
      <c r="C239" s="48" t="str">
        <f t="shared" ref="C239:O239" si="94">IFERROR(C208/C48*1000,"")</f>
        <v/>
      </c>
      <c r="D239" s="48" t="str">
        <f t="shared" si="94"/>
        <v/>
      </c>
      <c r="E239" s="48">
        <f t="shared" si="94"/>
        <v>1.5907603022081824</v>
      </c>
      <c r="F239" s="48">
        <f t="shared" si="94"/>
        <v>3.9214204021118952</v>
      </c>
      <c r="G239" s="48" t="str">
        <f t="shared" si="94"/>
        <v/>
      </c>
      <c r="H239" s="48">
        <f t="shared" si="94"/>
        <v>0.5297821703009421</v>
      </c>
      <c r="I239" s="48" t="str">
        <f t="shared" si="94"/>
        <v/>
      </c>
      <c r="J239" s="48">
        <f t="shared" si="94"/>
        <v>0.38615634583699743</v>
      </c>
      <c r="K239" s="48" t="str">
        <f t="shared" si="94"/>
        <v/>
      </c>
      <c r="L239" s="48" t="str">
        <f t="shared" si="94"/>
        <v/>
      </c>
      <c r="M239" s="48" t="str">
        <f t="shared" si="94"/>
        <v/>
      </c>
      <c r="N239" s="48">
        <f t="shared" si="94"/>
        <v>1.043119160066637</v>
      </c>
      <c r="O239" s="48">
        <f t="shared" si="94"/>
        <v>0.59279999951351814</v>
      </c>
      <c r="P239" s="53"/>
      <c r="T239" s="42">
        <f>IFERROR(T208/Inputs_Summary!I74*1000,"")</f>
        <v>0.4483661935993537</v>
      </c>
    </row>
    <row r="240" spans="2:20" ht="15" x14ac:dyDescent="0.25">
      <c r="B240" s="3">
        <v>2050</v>
      </c>
      <c r="C240" s="48" t="str">
        <f t="shared" ref="C240:O240" si="95">IFERROR(C209/C49*1000,"")</f>
        <v/>
      </c>
      <c r="D240" s="48" t="str">
        <f t="shared" si="95"/>
        <v/>
      </c>
      <c r="E240" s="48">
        <f t="shared" si="95"/>
        <v>1.5549355192331806</v>
      </c>
      <c r="F240" s="48">
        <f t="shared" si="95"/>
        <v>4.3027624130723483</v>
      </c>
      <c r="G240" s="48" t="str">
        <f t="shared" si="95"/>
        <v/>
      </c>
      <c r="H240" s="48">
        <f t="shared" si="95"/>
        <v>0.50317051708519667</v>
      </c>
      <c r="I240" s="48" t="str">
        <f t="shared" si="95"/>
        <v/>
      </c>
      <c r="J240" s="48">
        <f t="shared" si="95"/>
        <v>0.34202882127623402</v>
      </c>
      <c r="K240" s="48" t="str">
        <f t="shared" si="95"/>
        <v/>
      </c>
      <c r="L240" s="48" t="str">
        <f t="shared" si="95"/>
        <v/>
      </c>
      <c r="M240" s="48" t="str">
        <f t="shared" si="95"/>
        <v/>
      </c>
      <c r="N240" s="48">
        <f t="shared" si="95"/>
        <v>0.97942374392962595</v>
      </c>
      <c r="O240" s="48">
        <f t="shared" si="95"/>
        <v>0.56343426059312951</v>
      </c>
      <c r="P240" s="53"/>
      <c r="T240" s="42">
        <f>IFERROR(T209/Inputs_Summary!I75*1000,"")</f>
        <v>0.55575473704967582</v>
      </c>
    </row>
    <row r="241" spans="2:25" ht="15" x14ac:dyDescent="0.25">
      <c r="B241" s="41"/>
    </row>
    <row r="242" spans="2:25" ht="30" x14ac:dyDescent="0.25">
      <c r="B242" s="43" t="s">
        <v>50</v>
      </c>
      <c r="T242" s="43" t="s">
        <v>75</v>
      </c>
      <c r="U242" s="43" t="s">
        <v>73</v>
      </c>
      <c r="V242" s="43" t="s">
        <v>74</v>
      </c>
    </row>
    <row r="243" spans="2:25" ht="15" x14ac:dyDescent="0.25">
      <c r="B243" s="3">
        <v>2016</v>
      </c>
      <c r="C243" s="48">
        <f t="shared" ref="C243:O243" si="96">IFERROR(C212/C52*1000,"")</f>
        <v>0.51037516938143923</v>
      </c>
      <c r="D243" s="48">
        <f t="shared" si="96"/>
        <v>0.20487259277908632</v>
      </c>
      <c r="E243" s="48">
        <f t="shared" si="96"/>
        <v>0.95000000000000007</v>
      </c>
      <c r="F243" s="48">
        <f t="shared" si="96"/>
        <v>2.7719237674542714</v>
      </c>
      <c r="G243" s="48">
        <f t="shared" si="96"/>
        <v>0.30000000000000004</v>
      </c>
      <c r="H243" s="48">
        <f t="shared" si="96"/>
        <v>0.93</v>
      </c>
      <c r="I243" s="48">
        <f t="shared" si="96"/>
        <v>3.2999999999999994</v>
      </c>
      <c r="J243" s="48">
        <f t="shared" si="96"/>
        <v>1.6999999999999997</v>
      </c>
      <c r="K243" s="48" t="str">
        <f t="shared" si="96"/>
        <v/>
      </c>
      <c r="L243" s="48">
        <f t="shared" si="96"/>
        <v>1.6499999999999997</v>
      </c>
      <c r="M243" s="48" t="str">
        <f t="shared" si="96"/>
        <v/>
      </c>
      <c r="N243" s="48">
        <f t="shared" si="96"/>
        <v>0.15605822366857675</v>
      </c>
      <c r="O243" s="48" t="str">
        <f t="shared" si="96"/>
        <v/>
      </c>
      <c r="P243" s="53"/>
      <c r="T243" s="47">
        <f>IFERROR(T212/Inputs_Summary!I72*1000,"")</f>
        <v>0.52689457522731098</v>
      </c>
      <c r="U243" s="42">
        <f>T243+Inputs_Summary!$J$62</f>
        <v>0.82689457522731091</v>
      </c>
      <c r="V243" s="42">
        <f>U243+Inputs_Summary!J64*T128/T52</f>
        <v>0.93258760396588514</v>
      </c>
    </row>
    <row r="244" spans="2:25" ht="15" x14ac:dyDescent="0.25">
      <c r="B244" s="3">
        <v>2030</v>
      </c>
      <c r="C244" s="48">
        <f t="shared" ref="C244:O244" si="97">IFERROR(C213/C53*1000,"")</f>
        <v>0.71155801065582314</v>
      </c>
      <c r="D244" s="48">
        <f t="shared" si="97"/>
        <v>0.20554685758020835</v>
      </c>
      <c r="E244" s="48">
        <f t="shared" si="97"/>
        <v>0.94999999999999973</v>
      </c>
      <c r="F244" s="48">
        <f t="shared" si="97"/>
        <v>3.3628621005929911</v>
      </c>
      <c r="G244" s="48">
        <f t="shared" si="97"/>
        <v>0.31398636081835085</v>
      </c>
      <c r="H244" s="48">
        <f t="shared" si="97"/>
        <v>0.59516664013740728</v>
      </c>
      <c r="I244" s="48">
        <f t="shared" si="97"/>
        <v>2.4582620565560678</v>
      </c>
      <c r="J244" s="48">
        <f t="shared" si="97"/>
        <v>0.52564763987624374</v>
      </c>
      <c r="K244" s="48">
        <f t="shared" si="97"/>
        <v>0.86606898224332007</v>
      </c>
      <c r="L244" s="48">
        <f t="shared" si="97"/>
        <v>1.6341169498222046</v>
      </c>
      <c r="M244" s="48" t="str">
        <f t="shared" si="97"/>
        <v/>
      </c>
      <c r="N244" s="48">
        <f t="shared" si="97"/>
        <v>1.4262057255709073</v>
      </c>
      <c r="O244" s="48">
        <f t="shared" si="97"/>
        <v>0.83402157686613276</v>
      </c>
      <c r="P244" s="53"/>
      <c r="T244" s="47">
        <f>IFERROR(T213/Inputs_Summary!I73*1000,"")</f>
        <v>0.72687808932592224</v>
      </c>
      <c r="U244" s="42">
        <f>T244+Inputs_Summary!$J$62</f>
        <v>1.0268780893259222</v>
      </c>
      <c r="V244" s="42">
        <f>U244+Inputs_Summary!J65*T129/T53</f>
        <v>1.0945652148406999</v>
      </c>
    </row>
    <row r="245" spans="2:25" ht="15" x14ac:dyDescent="0.25">
      <c r="B245" s="3">
        <v>2040</v>
      </c>
      <c r="C245" s="48">
        <f t="shared" ref="C245:O245" si="98">IFERROR(C214/C54*1000,"")</f>
        <v>1.0676346680268682</v>
      </c>
      <c r="D245" s="48">
        <f t="shared" si="98"/>
        <v>0.20868240465448148</v>
      </c>
      <c r="E245" s="48">
        <f t="shared" si="98"/>
        <v>1.4301619860203807</v>
      </c>
      <c r="F245" s="48">
        <f t="shared" si="98"/>
        <v>3.9173781822911118</v>
      </c>
      <c r="G245" s="48">
        <f t="shared" si="98"/>
        <v>0.31579962099365572</v>
      </c>
      <c r="H245" s="48">
        <f t="shared" si="98"/>
        <v>0.5297821703009421</v>
      </c>
      <c r="I245" s="48">
        <f t="shared" si="98"/>
        <v>2.458941110283273</v>
      </c>
      <c r="J245" s="48">
        <f t="shared" si="98"/>
        <v>0.39809154568429728</v>
      </c>
      <c r="K245" s="48">
        <f t="shared" si="98"/>
        <v>0.8647996991371909</v>
      </c>
      <c r="L245" s="48">
        <f t="shared" si="98"/>
        <v>1.6342036251446199</v>
      </c>
      <c r="M245" s="48" t="str">
        <f t="shared" si="98"/>
        <v/>
      </c>
      <c r="N245" s="48">
        <f t="shared" si="98"/>
        <v>0.73344978243539372</v>
      </c>
      <c r="O245" s="48">
        <f t="shared" si="98"/>
        <v>0.59279999951351814</v>
      </c>
      <c r="P245" s="53"/>
      <c r="T245" s="47">
        <f>IFERROR(T214/Inputs_Summary!I74*1000,"")</f>
        <v>0.73579310881385229</v>
      </c>
      <c r="U245" s="42">
        <f>T245+Inputs_Summary!$J$62</f>
        <v>1.0357931088138523</v>
      </c>
      <c r="V245" s="42">
        <f>U245+Inputs_Summary!J66*T130/T54</f>
        <v>1.0586363930814195</v>
      </c>
    </row>
    <row r="246" spans="2:25" ht="15" x14ac:dyDescent="0.25">
      <c r="B246" s="3">
        <v>2050</v>
      </c>
      <c r="C246" s="48">
        <f t="shared" ref="C246:O246" si="99">IFERROR(C215/C55*1000,"")</f>
        <v>1.5031723739407057</v>
      </c>
      <c r="D246" s="48" t="str">
        <f t="shared" si="99"/>
        <v/>
      </c>
      <c r="E246" s="48">
        <f t="shared" si="99"/>
        <v>1.4993066476238566</v>
      </c>
      <c r="F246" s="48">
        <f t="shared" si="99"/>
        <v>4.3027624130723483</v>
      </c>
      <c r="G246" s="48">
        <f t="shared" si="99"/>
        <v>0.3170771433685341</v>
      </c>
      <c r="H246" s="48">
        <f t="shared" si="99"/>
        <v>0.50317051708519667</v>
      </c>
      <c r="I246" s="48" t="str">
        <f t="shared" si="99"/>
        <v/>
      </c>
      <c r="J246" s="48">
        <f t="shared" si="99"/>
        <v>0.34202882127623402</v>
      </c>
      <c r="K246" s="48" t="str">
        <f t="shared" si="99"/>
        <v/>
      </c>
      <c r="L246" s="48">
        <f t="shared" si="99"/>
        <v>1.6499999999999997</v>
      </c>
      <c r="M246" s="48" t="str">
        <f t="shared" si="99"/>
        <v/>
      </c>
      <c r="N246" s="48">
        <f t="shared" si="99"/>
        <v>0.67847504076119081</v>
      </c>
      <c r="O246" s="48">
        <f t="shared" si="99"/>
        <v>0.56343426059312951</v>
      </c>
      <c r="P246" s="53"/>
      <c r="T246" s="47">
        <f>IFERROR(T215/Inputs_Summary!I75*1000,"")</f>
        <v>0.7142304147137829</v>
      </c>
      <c r="U246" s="42">
        <f>T246+Inputs_Summary!$J$62</f>
        <v>1.0142304147137828</v>
      </c>
      <c r="V246" s="42">
        <f>U246+Inputs_Summary!J67*T131/T55</f>
        <v>1.0264311278098786</v>
      </c>
    </row>
    <row r="247" spans="2:25" s="58" customFormat="1" ht="21" x14ac:dyDescent="0.35">
      <c r="B247" s="59"/>
      <c r="O247" s="3"/>
      <c r="P247" s="11"/>
      <c r="Q247" s="3"/>
      <c r="R247" s="3"/>
    </row>
    <row r="248" spans="2:25" s="9" customFormat="1" ht="21" x14ac:dyDescent="0.35">
      <c r="B248" s="10" t="s">
        <v>131</v>
      </c>
      <c r="Y248" s="86"/>
    </row>
    <row r="249" spans="2:25" ht="15" x14ac:dyDescent="0.25">
      <c r="Y249" s="12"/>
    </row>
    <row r="250" spans="2:25" ht="30" x14ac:dyDescent="0.25">
      <c r="B250" s="43" t="s">
        <v>124</v>
      </c>
      <c r="C250" s="43" t="s">
        <v>0</v>
      </c>
      <c r="D250" s="43" t="s">
        <v>1</v>
      </c>
      <c r="E250" s="43" t="s">
        <v>28</v>
      </c>
      <c r="F250" s="2" t="s">
        <v>29</v>
      </c>
      <c r="G250" s="2" t="s">
        <v>6</v>
      </c>
      <c r="H250" s="43" t="s">
        <v>2</v>
      </c>
      <c r="I250" s="43" t="s">
        <v>3</v>
      </c>
      <c r="J250" s="43" t="s">
        <v>4</v>
      </c>
      <c r="K250" s="43" t="s">
        <v>9</v>
      </c>
      <c r="L250" s="43" t="s">
        <v>8</v>
      </c>
      <c r="M250" s="43" t="s">
        <v>25</v>
      </c>
      <c r="N250" s="43" t="s">
        <v>7</v>
      </c>
      <c r="O250" s="43" t="s">
        <v>89</v>
      </c>
      <c r="P250" s="25"/>
      <c r="Q250" s="43" t="s">
        <v>5</v>
      </c>
      <c r="R250" s="43" t="s">
        <v>91</v>
      </c>
      <c r="T250" s="43" t="s">
        <v>10</v>
      </c>
      <c r="Y250" s="12"/>
    </row>
    <row r="251" spans="2:25" ht="15" x14ac:dyDescent="0.25">
      <c r="B251" s="3">
        <v>2016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3"/>
      <c r="Q251" s="5">
        <f>G251+N251</f>
        <v>0</v>
      </c>
      <c r="R251" s="5">
        <f>SUM(K251:L251)</f>
        <v>0</v>
      </c>
      <c r="T251" s="5">
        <f>SUM(C251:O251)</f>
        <v>0</v>
      </c>
      <c r="Y251" s="12"/>
    </row>
    <row r="252" spans="2:25" ht="15" x14ac:dyDescent="0.25">
      <c r="B252" s="3">
        <v>2030</v>
      </c>
      <c r="C252" s="50">
        <f>Inputs_Summary!E$53*((C11+C17))/14/1000</f>
        <v>17416.822857142859</v>
      </c>
      <c r="D252" s="50">
        <f>Inputs_Summary!F$53*((D11+D17))/14/1000</f>
        <v>0</v>
      </c>
      <c r="E252" s="50">
        <f>Inputs_Summary!G$53*((E11+E17))/14/1000</f>
        <v>0</v>
      </c>
      <c r="F252" s="50">
        <f>Inputs_Summary!H$53*((F11+F17))/14/1000</f>
        <v>353.00571428571425</v>
      </c>
      <c r="G252" s="50">
        <f>Inputs_Summary!I$53*((G11+G17))/14/1000</f>
        <v>0</v>
      </c>
      <c r="H252" s="50">
        <f>Inputs_Summary!J$53*((H11+H17))/14/1000</f>
        <v>7268.5714285714284</v>
      </c>
      <c r="I252" s="50">
        <f>Inputs_Summary!K$53*((I11+I17))/14/1000</f>
        <v>1578.5714285714287</v>
      </c>
      <c r="J252" s="50">
        <f>Inputs_Summary!L$53*((J11+J17))/14/1000</f>
        <v>18518.788571428569</v>
      </c>
      <c r="K252" s="50">
        <f>Inputs_Summary!M$53*((K11+K17))/14/1000</f>
        <v>0</v>
      </c>
      <c r="L252" s="50">
        <f>Inputs_Summary!N$53*((L11+L17))/14/1000</f>
        <v>0</v>
      </c>
      <c r="M252" s="50">
        <f>Inputs_Summary!O$53*((M11+M17))/14/1000</f>
        <v>0</v>
      </c>
      <c r="N252" s="50">
        <f>Inputs_Summary!P$53*((N11+N17))/14/1000</f>
        <v>0</v>
      </c>
      <c r="O252" s="50">
        <f>Inputs_Summary!Q$53*((O11+O17))/14/1000</f>
        <v>0</v>
      </c>
      <c r="P252" s="53"/>
      <c r="Q252" s="5">
        <f>G252+N252</f>
        <v>0</v>
      </c>
      <c r="R252" s="5">
        <f>SUM(K252:L252)</f>
        <v>0</v>
      </c>
      <c r="T252" s="5">
        <f>SUM(C252:O252)</f>
        <v>45135.759999999995</v>
      </c>
      <c r="Y252" s="12"/>
    </row>
    <row r="253" spans="2:25" ht="15" x14ac:dyDescent="0.25">
      <c r="B253" s="3">
        <v>2040</v>
      </c>
      <c r="C253" s="50">
        <f>Inputs_Summary!E$53*((C12+C18))/10/1000</f>
        <v>24383.552</v>
      </c>
      <c r="D253" s="50">
        <f>Inputs_Summary!F$53*((D12+D18))/10/1000</f>
        <v>0</v>
      </c>
      <c r="E253" s="50">
        <f>Inputs_Summary!G$53*((E12+E18))/10/1000</f>
        <v>1370.3040000000001</v>
      </c>
      <c r="F253" s="50">
        <f>Inputs_Summary!H$53*((F12+F18))/10/1000</f>
        <v>6177.6</v>
      </c>
      <c r="G253" s="50">
        <f>Inputs_Summary!I$53*((G12+G18))/10/1000</f>
        <v>0</v>
      </c>
      <c r="H253" s="50">
        <f>Inputs_Summary!J$53*((H12+H18))/10/1000</f>
        <v>27968</v>
      </c>
      <c r="I253" s="50">
        <f>Inputs_Summary!K$53*((I12+I18))/10/1000</f>
        <v>2210</v>
      </c>
      <c r="J253" s="50">
        <f>Inputs_Summary!L$53*((J12+J18))/10/1000</f>
        <v>84611.903999999995</v>
      </c>
      <c r="K253" s="50">
        <f>Inputs_Summary!M$53*((K12+K18))/10/1000</f>
        <v>0</v>
      </c>
      <c r="L253" s="50">
        <f>Inputs_Summary!N$53*((L12+L18))/10/1000</f>
        <v>0</v>
      </c>
      <c r="M253" s="50">
        <f>Inputs_Summary!O$53*((M12+M18))/10/1000</f>
        <v>0</v>
      </c>
      <c r="N253" s="50">
        <f>Inputs_Summary!P$53*((N12+N18))/10/1000</f>
        <v>0</v>
      </c>
      <c r="O253" s="50">
        <f>Inputs_Summary!Q$53*((O12+O18))/10/1000</f>
        <v>0</v>
      </c>
      <c r="P253" s="53"/>
      <c r="Q253" s="5">
        <f>G253+N253</f>
        <v>0</v>
      </c>
      <c r="R253" s="5">
        <f>SUM(K253:L253)</f>
        <v>0</v>
      </c>
      <c r="T253" s="5">
        <f>SUM(C253:O253)</f>
        <v>146721.35999999999</v>
      </c>
      <c r="Y253" s="12"/>
    </row>
    <row r="254" spans="2:25" ht="15" x14ac:dyDescent="0.25">
      <c r="B254" s="3">
        <v>2050</v>
      </c>
      <c r="C254" s="50">
        <f>Inputs_Summary!E$53*((C13+C19))/10/1000</f>
        <v>24383.552</v>
      </c>
      <c r="D254" s="50">
        <f>Inputs_Summary!F$53*((D13+D19))/10/1000</f>
        <v>0</v>
      </c>
      <c r="E254" s="50">
        <f>Inputs_Summary!G$53*((E13+E19))/10/1000</f>
        <v>4110.9120000000003</v>
      </c>
      <c r="F254" s="50">
        <f>Inputs_Summary!H$53*((F13+F19))/10/1000</f>
        <v>11613.888000000001</v>
      </c>
      <c r="G254" s="50">
        <f>Inputs_Summary!I$53*((G13+G19))/10/1000</f>
        <v>0</v>
      </c>
      <c r="H254" s="50">
        <f>Inputs_Summary!J$53*((H13+H19))/10/1000</f>
        <v>46656</v>
      </c>
      <c r="I254" s="50">
        <f>Inputs_Summary!K$53*((I13+I19))/10/1000</f>
        <v>0</v>
      </c>
      <c r="J254" s="50">
        <f>Inputs_Summary!L$53*((J13+J19))/10/1000</f>
        <v>121731.2</v>
      </c>
      <c r="K254" s="50">
        <f>Inputs_Summary!M$53*((K13+K19))/10/1000</f>
        <v>0</v>
      </c>
      <c r="L254" s="50">
        <f>Inputs_Summary!N$53*((L13+L19))/10/1000</f>
        <v>0</v>
      </c>
      <c r="M254" s="50">
        <f>Inputs_Summary!O$53*((M13+M19))/10/1000</f>
        <v>0</v>
      </c>
      <c r="N254" s="50">
        <f>Inputs_Summary!P$53*((N13+N19))/10/1000</f>
        <v>0</v>
      </c>
      <c r="O254" s="50">
        <f>Inputs_Summary!Q$53*((O13+O19))/10/1000</f>
        <v>0</v>
      </c>
      <c r="P254" s="53"/>
      <c r="Q254" s="5">
        <f>G254+N254</f>
        <v>0</v>
      </c>
      <c r="R254" s="5">
        <f>SUM(K254:L254)</f>
        <v>0</v>
      </c>
      <c r="T254" s="5">
        <f>SUM(C254:O254)</f>
        <v>208495.552</v>
      </c>
      <c r="Y254" s="12"/>
    </row>
    <row r="255" spans="2:25" ht="15" x14ac:dyDescent="0.25">
      <c r="B255" s="41"/>
      <c r="Y255" s="12"/>
    </row>
    <row r="256" spans="2:25" ht="28.8" x14ac:dyDescent="0.3">
      <c r="B256" s="43" t="s">
        <v>125</v>
      </c>
      <c r="C256" s="43" t="s">
        <v>0</v>
      </c>
      <c r="D256" s="43" t="s">
        <v>1</v>
      </c>
      <c r="E256" s="43" t="s">
        <v>28</v>
      </c>
      <c r="F256" s="2" t="s">
        <v>29</v>
      </c>
      <c r="G256" s="2" t="s">
        <v>6</v>
      </c>
      <c r="H256" s="43" t="s">
        <v>2</v>
      </c>
      <c r="I256" s="43" t="s">
        <v>3</v>
      </c>
      <c r="J256" s="43" t="s">
        <v>4</v>
      </c>
      <c r="K256" s="43" t="s">
        <v>9</v>
      </c>
      <c r="L256" s="43" t="s">
        <v>8</v>
      </c>
      <c r="M256" s="43" t="s">
        <v>25</v>
      </c>
      <c r="N256" s="43" t="s">
        <v>7</v>
      </c>
      <c r="O256" s="43" t="s">
        <v>89</v>
      </c>
      <c r="P256" s="25"/>
      <c r="Q256" s="43" t="s">
        <v>5</v>
      </c>
      <c r="R256" s="43" t="s">
        <v>91</v>
      </c>
      <c r="T256" s="43" t="s">
        <v>10</v>
      </c>
      <c r="Y256" s="12"/>
    </row>
    <row r="257" spans="2:25" x14ac:dyDescent="0.3">
      <c r="B257" s="3">
        <v>2016</v>
      </c>
      <c r="C257" s="50">
        <f>C52*Inputs_Summary!E$54/1000</f>
        <v>45896.9543048372</v>
      </c>
      <c r="D257" s="50">
        <f>D52*Inputs_Summary!F$54/1000</f>
        <v>1194.2541863648376</v>
      </c>
      <c r="E257" s="50">
        <f>E52*Inputs_Summary!G$54/1000</f>
        <v>24.194456191623686</v>
      </c>
      <c r="F257" s="50">
        <f>F52*Inputs_Summary!H$54/1000</f>
        <v>64.778037480530941</v>
      </c>
      <c r="G257" s="50">
        <f>G52*Inputs_Summary!I$54/1000</f>
        <v>0</v>
      </c>
      <c r="H257" s="50">
        <f>H52*Inputs_Summary!J$54/1000</f>
        <v>482.6659542319224</v>
      </c>
      <c r="I257" s="50">
        <f>I52*Inputs_Summary!K$54/1000</f>
        <v>107.59709033191633</v>
      </c>
      <c r="J257" s="50">
        <f>J52*Inputs_Summary!L$54/1000</f>
        <v>290.29948580609926</v>
      </c>
      <c r="K257" s="50">
        <f>K52*Inputs_Summary!M$54/1000</f>
        <v>0</v>
      </c>
      <c r="L257" s="50">
        <f>L52*Inputs_Summary!N$54/1000</f>
        <v>0</v>
      </c>
      <c r="M257" s="50">
        <f>M52*Inputs_Summary!O$54/1000</f>
        <v>0</v>
      </c>
      <c r="N257" s="50">
        <f>N52*Inputs_Summary!P$54/1000</f>
        <v>0</v>
      </c>
      <c r="O257" s="50">
        <f>O52*Inputs_Summary!Q$54/1000</f>
        <v>0</v>
      </c>
      <c r="P257" s="53"/>
      <c r="Q257" s="5">
        <f>G257+N257</f>
        <v>0</v>
      </c>
      <c r="R257" s="5">
        <f>SUM(K257:L257)</f>
        <v>0</v>
      </c>
      <c r="T257" s="5">
        <f>SUM(C257:O257)</f>
        <v>48060.743515244132</v>
      </c>
      <c r="Y257" s="12"/>
    </row>
    <row r="258" spans="2:25" x14ac:dyDescent="0.3">
      <c r="B258" s="3">
        <v>2030</v>
      </c>
      <c r="C258" s="50">
        <f>C53*Inputs_Summary!E$54/1000</f>
        <v>46325.192040844886</v>
      </c>
      <c r="D258" s="50">
        <f>D53*Inputs_Summary!F$54/1000</f>
        <v>1184.5142475186306</v>
      </c>
      <c r="E258" s="50">
        <f>E53*Inputs_Summary!G$54/1000</f>
        <v>71.747197862818282</v>
      </c>
      <c r="F258" s="50">
        <f>F53*Inputs_Summary!H$54/1000</f>
        <v>37.375132644643728</v>
      </c>
      <c r="G258" s="50">
        <f>G53*Inputs_Summary!I$54/1000</f>
        <v>0</v>
      </c>
      <c r="H258" s="50">
        <f>H53*Inputs_Summary!J$54/1000</f>
        <v>6620.4171913282407</v>
      </c>
      <c r="I258" s="50">
        <f>I53*Inputs_Summary!K$54/1000</f>
        <v>657.60444219493672</v>
      </c>
      <c r="J258" s="50">
        <f>J53*Inputs_Summary!L$54/1000</f>
        <v>6093.7379203925848</v>
      </c>
      <c r="K258" s="50">
        <f>K53*Inputs_Summary!M$54/1000</f>
        <v>0</v>
      </c>
      <c r="L258" s="50">
        <f>L53*Inputs_Summary!N$54/1000</f>
        <v>0</v>
      </c>
      <c r="M258" s="50">
        <f>M53*Inputs_Summary!O$54/1000</f>
        <v>0</v>
      </c>
      <c r="N258" s="50">
        <f>N53*Inputs_Summary!P$54/1000</f>
        <v>0</v>
      </c>
      <c r="O258" s="50">
        <f>O53*Inputs_Summary!Q$54/1000</f>
        <v>0</v>
      </c>
      <c r="P258" s="53"/>
      <c r="Q258" s="5">
        <f>G258+N258</f>
        <v>0</v>
      </c>
      <c r="R258" s="5">
        <f>SUM(K258:L258)</f>
        <v>0</v>
      </c>
      <c r="T258" s="5">
        <f>SUM(C258:O258)</f>
        <v>60990.588172786738</v>
      </c>
      <c r="Y258" s="12"/>
    </row>
    <row r="259" spans="2:25" x14ac:dyDescent="0.3">
      <c r="B259" s="3">
        <v>2040</v>
      </c>
      <c r="C259" s="50">
        <f>C54*Inputs_Summary!E$54/1000</f>
        <v>19774.860164604856</v>
      </c>
      <c r="D259" s="50">
        <f>D54*Inputs_Summary!F$54/1000</f>
        <v>1141.2313825151994</v>
      </c>
      <c r="E259" s="50">
        <f>E54*Inputs_Summary!G$54/1000</f>
        <v>290.06152005547068</v>
      </c>
      <c r="F259" s="50">
        <f>F54*Inputs_Summary!H$54/1000</f>
        <v>188.30697462659307</v>
      </c>
      <c r="G259" s="50">
        <f>G54*Inputs_Summary!I$54/1000</f>
        <v>0</v>
      </c>
      <c r="H259" s="50">
        <f>H54*Inputs_Summary!J$54/1000</f>
        <v>16164.100039711684</v>
      </c>
      <c r="I259" s="50">
        <f>I54*Inputs_Summary!K$54/1000</f>
        <v>660.54279741994935</v>
      </c>
      <c r="J259" s="50">
        <f>J54*Inputs_Summary!L$54/1000</f>
        <v>18393.676795739171</v>
      </c>
      <c r="K259" s="50">
        <f>K54*Inputs_Summary!M$54/1000</f>
        <v>0</v>
      </c>
      <c r="L259" s="50">
        <f>L54*Inputs_Summary!N$54/1000</f>
        <v>0</v>
      </c>
      <c r="M259" s="50">
        <f>M54*Inputs_Summary!O$54/1000</f>
        <v>0</v>
      </c>
      <c r="N259" s="50">
        <f>N54*Inputs_Summary!P$54/1000</f>
        <v>0</v>
      </c>
      <c r="O259" s="50">
        <f>O54*Inputs_Summary!Q$54/1000</f>
        <v>0</v>
      </c>
      <c r="P259" s="53"/>
      <c r="Q259" s="5">
        <f>G259+N259</f>
        <v>0</v>
      </c>
      <c r="R259" s="5">
        <f>SUM(K259:L259)</f>
        <v>0</v>
      </c>
      <c r="T259" s="5">
        <f>SUM(C259:O259)</f>
        <v>56612.779674672922</v>
      </c>
      <c r="Y259" s="12"/>
    </row>
    <row r="260" spans="2:25" x14ac:dyDescent="0.3">
      <c r="B260" s="3">
        <v>2050</v>
      </c>
      <c r="C260" s="50">
        <f>C55*Inputs_Summary!E$54/1000</f>
        <v>11041.844382123898</v>
      </c>
      <c r="D260" s="50">
        <f>D55*Inputs_Summary!F$54/1000</f>
        <v>0</v>
      </c>
      <c r="E260" s="50">
        <f>E55*Inputs_Summary!G$54/1000</f>
        <v>778.82450175185556</v>
      </c>
      <c r="F260" s="50">
        <f>F55*Inputs_Summary!H$54/1000</f>
        <v>294.84791596033739</v>
      </c>
      <c r="G260" s="50">
        <f>G55*Inputs_Summary!I$54/1000</f>
        <v>0</v>
      </c>
      <c r="H260" s="50">
        <f>H55*Inputs_Summary!J$54/1000</f>
        <v>26791.450496924597</v>
      </c>
      <c r="I260" s="50">
        <f>I55*Inputs_Summary!K$54/1000</f>
        <v>0</v>
      </c>
      <c r="J260" s="50">
        <f>J55*Inputs_Summary!L$54/1000</f>
        <v>23481.027037524833</v>
      </c>
      <c r="K260" s="50">
        <f>K55*Inputs_Summary!M$54/1000</f>
        <v>0</v>
      </c>
      <c r="L260" s="50">
        <f>L55*Inputs_Summary!N$54/1000</f>
        <v>0</v>
      </c>
      <c r="M260" s="50">
        <f>M55*Inputs_Summary!O$54/1000</f>
        <v>0</v>
      </c>
      <c r="N260" s="50">
        <f>N55*Inputs_Summary!P$54/1000</f>
        <v>0</v>
      </c>
      <c r="O260" s="50">
        <f>O55*Inputs_Summary!Q$54/1000</f>
        <v>0</v>
      </c>
      <c r="P260" s="53"/>
      <c r="Q260" s="5">
        <f>G260+N260</f>
        <v>0</v>
      </c>
      <c r="R260" s="5">
        <f>SUM(K260:L260)</f>
        <v>0</v>
      </c>
      <c r="T260" s="5">
        <f>SUM(C260:O260)</f>
        <v>62387.994334285526</v>
      </c>
      <c r="Y260" s="12"/>
    </row>
    <row r="261" spans="2:25" x14ac:dyDescent="0.3">
      <c r="B261" s="11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11"/>
      <c r="R261" s="11"/>
      <c r="Y261" s="12"/>
    </row>
    <row r="262" spans="2:25" ht="28.8" x14ac:dyDescent="0.3">
      <c r="B262" s="43" t="s">
        <v>126</v>
      </c>
      <c r="C262" s="43" t="s">
        <v>0</v>
      </c>
      <c r="D262" s="43" t="s">
        <v>1</v>
      </c>
      <c r="E262" s="43" t="s">
        <v>28</v>
      </c>
      <c r="F262" s="2" t="s">
        <v>29</v>
      </c>
      <c r="G262" s="2" t="s">
        <v>6</v>
      </c>
      <c r="H262" s="43" t="s">
        <v>2</v>
      </c>
      <c r="I262" s="43" t="s">
        <v>3</v>
      </c>
      <c r="J262" s="43" t="s">
        <v>4</v>
      </c>
      <c r="K262" s="43" t="s">
        <v>9</v>
      </c>
      <c r="L262" s="43" t="s">
        <v>8</v>
      </c>
      <c r="M262" s="43" t="s">
        <v>25</v>
      </c>
      <c r="N262" s="43" t="s">
        <v>7</v>
      </c>
      <c r="O262" s="43" t="s">
        <v>89</v>
      </c>
      <c r="P262" s="25"/>
      <c r="Q262" s="43" t="s">
        <v>5</v>
      </c>
      <c r="R262" s="43" t="s">
        <v>91</v>
      </c>
      <c r="T262" s="43" t="s">
        <v>10</v>
      </c>
      <c r="Y262" s="12"/>
    </row>
    <row r="263" spans="2:25" x14ac:dyDescent="0.3">
      <c r="B263" s="3">
        <v>2016</v>
      </c>
      <c r="C263" s="50">
        <v>0</v>
      </c>
      <c r="D263" s="50">
        <v>0</v>
      </c>
      <c r="E263" s="50">
        <v>0</v>
      </c>
      <c r="F263" s="50">
        <v>0</v>
      </c>
      <c r="G263" s="50">
        <v>0</v>
      </c>
      <c r="H263" s="50">
        <v>0</v>
      </c>
      <c r="I263" s="50">
        <v>0</v>
      </c>
      <c r="J263" s="50">
        <v>0</v>
      </c>
      <c r="K263" s="50">
        <v>0</v>
      </c>
      <c r="L263" s="50">
        <v>0</v>
      </c>
      <c r="M263" s="50">
        <v>0</v>
      </c>
      <c r="N263" s="50">
        <v>0</v>
      </c>
      <c r="O263" s="50">
        <v>0</v>
      </c>
      <c r="P263" s="53"/>
      <c r="Q263" s="5">
        <f>G263+N263</f>
        <v>0</v>
      </c>
      <c r="R263" s="5">
        <f>SUM(K263:L263)</f>
        <v>0</v>
      </c>
      <c r="T263" s="5">
        <f>SUM(C263:O263)</f>
        <v>0</v>
      </c>
      <c r="Y263" s="12"/>
    </row>
    <row r="264" spans="2:25" x14ac:dyDescent="0.3">
      <c r="B264" s="3">
        <v>2030</v>
      </c>
      <c r="C264" s="50">
        <f>Inputs_Summary!E$56*((C11+C17)-(C10+C16))/14/1000</f>
        <v>3771.1328571428571</v>
      </c>
      <c r="D264" s="50">
        <f>Inputs_Summary!F$56*((D11+D17)-(D10+D16))/14/1000</f>
        <v>0</v>
      </c>
      <c r="E264" s="50">
        <f>Inputs_Summary!G$56*((E11+E17)-(E10+E16))/14/1000</f>
        <v>0</v>
      </c>
      <c r="F264" s="50">
        <f>Inputs_Summary!H$56*((F11+F17)-(F10+F16))/14/1000</f>
        <v>60.342857142857142</v>
      </c>
      <c r="G264" s="50">
        <f>Inputs_Summary!I$56*((G11+G17)-(G10+G16))/14/1000</f>
        <v>0</v>
      </c>
      <c r="H264" s="50">
        <f>Inputs_Summary!J$56*((H11+H17)-(H10+H16))/14/1000</f>
        <v>4948.7428571428572</v>
      </c>
      <c r="I264" s="50">
        <f>Inputs_Summary!K$56*((I11+I17)-(I10+I16))/14/1000</f>
        <v>546.42857142857144</v>
      </c>
      <c r="J264" s="50">
        <f>Inputs_Summary!L$56*((J11+J17)-(J10+J16))/14/1000</f>
        <v>10448.674285714285</v>
      </c>
      <c r="K264" s="50">
        <f>Inputs_Summary!M$56*((K11+K17)-(K10+K16))/14/1000</f>
        <v>0</v>
      </c>
      <c r="L264" s="50">
        <f>Inputs_Summary!N$56*((L11+L17)-(L10+L16))/14/1000</f>
        <v>0</v>
      </c>
      <c r="M264" s="50">
        <f>Inputs_Summary!O$56*((M11+M17)-(M10+M16))/14/1000</f>
        <v>0</v>
      </c>
      <c r="N264" s="50">
        <f>Inputs_Summary!P$56*((N11+N17)-(N10+N16))/14/1000</f>
        <v>0</v>
      </c>
      <c r="O264" s="50">
        <f>Inputs_Summary!Q$56*((O11+O17)-(O10+O16))/14/1000</f>
        <v>0</v>
      </c>
      <c r="P264" s="53"/>
      <c r="Q264" s="5">
        <f>G264+N264</f>
        <v>0</v>
      </c>
      <c r="R264" s="5">
        <f>SUM(K264:L264)</f>
        <v>0</v>
      </c>
      <c r="T264" s="5">
        <f>SUM(C264:O264)</f>
        <v>19775.321428571428</v>
      </c>
      <c r="Y264" s="12"/>
    </row>
    <row r="265" spans="2:25" x14ac:dyDescent="0.3">
      <c r="B265" s="3">
        <v>2040</v>
      </c>
      <c r="C265" s="50">
        <f>Inputs_Summary!E$56*((C12+C18))/10/1000</f>
        <v>5712.0640000000003</v>
      </c>
      <c r="D265" s="50">
        <f>Inputs_Summary!F$56*((D12+D18))/10/1000</f>
        <v>0</v>
      </c>
      <c r="E265" s="50">
        <f>Inputs_Summary!G$56*((E12+E18))/10/1000</f>
        <v>234.24</v>
      </c>
      <c r="F265" s="50">
        <f>Inputs_Summary!H$56*((F12+F18))/10/1000</f>
        <v>1056</v>
      </c>
      <c r="G265" s="50">
        <f>Inputs_Summary!I$56*((G12+G18))/10/1000</f>
        <v>0</v>
      </c>
      <c r="H265" s="50">
        <f>Inputs_Summary!J$56*((H12+H18))/10/1000</f>
        <v>19228</v>
      </c>
      <c r="I265" s="50">
        <f>Inputs_Summary!K$56*((I12+I18))/10/1000</f>
        <v>765</v>
      </c>
      <c r="J265" s="50">
        <f>Inputs_Summary!L$56*((J12+J18))/10/1000</f>
        <v>47739.743999999999</v>
      </c>
      <c r="K265" s="50">
        <f>Inputs_Summary!M$56*((K12+K18))/10/1000</f>
        <v>0</v>
      </c>
      <c r="L265" s="50">
        <f>Inputs_Summary!N$56*((L12+L18))/10/1000</f>
        <v>0</v>
      </c>
      <c r="M265" s="50">
        <f>Inputs_Summary!O$56*((M12+M18))/10/1000</f>
        <v>0</v>
      </c>
      <c r="N265" s="50">
        <f>Inputs_Summary!P$56*((N12+N18))/10/1000</f>
        <v>0</v>
      </c>
      <c r="O265" s="50">
        <f>Inputs_Summary!Q$56*((O12+O18))/10/1000</f>
        <v>0</v>
      </c>
      <c r="P265" s="53"/>
      <c r="Q265" s="5">
        <f>G265+N265</f>
        <v>0</v>
      </c>
      <c r="R265" s="5">
        <f>SUM(K265:L265)</f>
        <v>0</v>
      </c>
      <c r="T265" s="5">
        <f>SUM(C265:O265)</f>
        <v>74735.047999999995</v>
      </c>
      <c r="Y265" s="12"/>
    </row>
    <row r="266" spans="2:25" x14ac:dyDescent="0.3">
      <c r="B266" s="3">
        <v>2050</v>
      </c>
      <c r="C266" s="50">
        <f>Inputs_Summary!E$56*((C13+C19))/10/1000</f>
        <v>5712.0640000000003</v>
      </c>
      <c r="D266" s="50">
        <f>Inputs_Summary!F$56*((D13+D19))/10/1000</f>
        <v>0</v>
      </c>
      <c r="E266" s="50">
        <f>Inputs_Summary!G$56*((E13+E19))/10/1000</f>
        <v>702.72</v>
      </c>
      <c r="F266" s="50">
        <f>Inputs_Summary!H$56*((F13+F19))/10/1000</f>
        <v>1985.28</v>
      </c>
      <c r="G266" s="50">
        <f>Inputs_Summary!I$56*((G13+G19))/10/1000</f>
        <v>0</v>
      </c>
      <c r="H266" s="50">
        <f>Inputs_Summary!J$56*((H13+H19))/10/1000</f>
        <v>32076</v>
      </c>
      <c r="I266" s="50">
        <f>Inputs_Summary!K$56*((I13+I19))/10/1000</f>
        <v>0</v>
      </c>
      <c r="J266" s="50">
        <f>Inputs_Summary!L$56*((J13+J19))/10/1000</f>
        <v>68683.199999999997</v>
      </c>
      <c r="K266" s="50">
        <f>Inputs_Summary!M$56*((K13+K19))/10/1000</f>
        <v>0</v>
      </c>
      <c r="L266" s="50">
        <f>Inputs_Summary!N$56*((L13+L19))/10/1000</f>
        <v>0</v>
      </c>
      <c r="M266" s="50">
        <f>Inputs_Summary!O$56*((M13+M19))/10/1000</f>
        <v>0</v>
      </c>
      <c r="N266" s="50">
        <f>Inputs_Summary!P$56*((N13+N19))/10/1000</f>
        <v>0</v>
      </c>
      <c r="O266" s="50">
        <f>Inputs_Summary!Q$56*((O13+O19))/10/1000</f>
        <v>0</v>
      </c>
      <c r="P266" s="53"/>
      <c r="Q266" s="5">
        <f>G266+N266</f>
        <v>0</v>
      </c>
      <c r="R266" s="5">
        <f>SUM(K266:L266)</f>
        <v>0</v>
      </c>
      <c r="T266" s="5">
        <f>SUM(C266:O266)</f>
        <v>109159.264</v>
      </c>
      <c r="Y266" s="12"/>
    </row>
    <row r="267" spans="2:25" x14ac:dyDescent="0.3">
      <c r="B267" s="41"/>
      <c r="Y267" s="12"/>
    </row>
    <row r="268" spans="2:25" ht="28.8" x14ac:dyDescent="0.3">
      <c r="B268" s="43" t="s">
        <v>127</v>
      </c>
      <c r="C268" s="43" t="s">
        <v>0</v>
      </c>
      <c r="D268" s="43" t="s">
        <v>1</v>
      </c>
      <c r="E268" s="43" t="s">
        <v>28</v>
      </c>
      <c r="F268" s="2" t="s">
        <v>29</v>
      </c>
      <c r="G268" s="2" t="s">
        <v>6</v>
      </c>
      <c r="H268" s="43" t="s">
        <v>2</v>
      </c>
      <c r="I268" s="43" t="s">
        <v>3</v>
      </c>
      <c r="J268" s="43" t="s">
        <v>4</v>
      </c>
      <c r="K268" s="43" t="s">
        <v>9</v>
      </c>
      <c r="L268" s="43" t="s">
        <v>8</v>
      </c>
      <c r="M268" s="43" t="s">
        <v>25</v>
      </c>
      <c r="N268" s="43" t="s">
        <v>7</v>
      </c>
      <c r="O268" s="43" t="s">
        <v>89</v>
      </c>
      <c r="P268" s="25"/>
      <c r="Q268" s="43" t="s">
        <v>5</v>
      </c>
      <c r="R268" s="43" t="s">
        <v>91</v>
      </c>
      <c r="T268" s="43" t="s">
        <v>10</v>
      </c>
      <c r="Y268" s="12"/>
    </row>
    <row r="269" spans="2:25" x14ac:dyDescent="0.3">
      <c r="B269" s="38"/>
      <c r="C269" s="50">
        <f>C52*Inputs_Summary!E$57/1000</f>
        <v>28685.596440523248</v>
      </c>
      <c r="D269" s="50">
        <f>D52*Inputs_Summary!F$57/1000</f>
        <v>176.92654612812407</v>
      </c>
      <c r="E269" s="50">
        <f>E52*Inputs_Summary!G$57/1000</f>
        <v>4.5364605359294412</v>
      </c>
      <c r="F269" s="50">
        <f>F52*Inputs_Summary!H$57/1000</f>
        <v>12.145882027599551</v>
      </c>
      <c r="G269" s="50">
        <f>G52*Inputs_Summary!I$57/1000</f>
        <v>0</v>
      </c>
      <c r="H269" s="50">
        <f>H52*Inputs_Summary!J$57/1000</f>
        <v>16.08886514106408</v>
      </c>
      <c r="I269" s="50">
        <f>I52*Inputs_Summary!K$57/1000</f>
        <v>12.415048884451885</v>
      </c>
      <c r="J269" s="50">
        <f>J52*Inputs_Summary!L$57/1000</f>
        <v>47.503552222816239</v>
      </c>
      <c r="K269" s="50">
        <f>K52*Inputs_Summary!M$57/1000</f>
        <v>0</v>
      </c>
      <c r="L269" s="50">
        <f>L52*Inputs_Summary!N$57/1000</f>
        <v>0</v>
      </c>
      <c r="M269" s="50">
        <f>M52*Inputs_Summary!O$57/1000</f>
        <v>0</v>
      </c>
      <c r="N269" s="50">
        <f>N52*Inputs_Summary!P$57/1000</f>
        <v>0</v>
      </c>
      <c r="O269" s="50">
        <f>O52*Inputs_Summary!Q$57/1000</f>
        <v>0</v>
      </c>
      <c r="P269" s="53"/>
      <c r="Q269" s="5">
        <f>G269+N269</f>
        <v>0</v>
      </c>
      <c r="R269" s="5">
        <f>SUM(K269:L269)</f>
        <v>0</v>
      </c>
      <c r="T269" s="5">
        <f>SUM(C269:O269)</f>
        <v>28955.212795463234</v>
      </c>
      <c r="Y269" s="12"/>
    </row>
    <row r="270" spans="2:25" x14ac:dyDescent="0.3">
      <c r="C270" s="50">
        <f>C53*Inputs_Summary!E$57/1000</f>
        <v>28953.245025528056</v>
      </c>
      <c r="D270" s="50">
        <f>D53*Inputs_Summary!F$57/1000</f>
        <v>175.48359222498232</v>
      </c>
      <c r="E270" s="50">
        <f>E53*Inputs_Summary!G$57/1000</f>
        <v>13.452599599278429</v>
      </c>
      <c r="F270" s="50">
        <f>F53*Inputs_Summary!H$57/1000</f>
        <v>7.0078373708706998</v>
      </c>
      <c r="G270" s="50">
        <f>G53*Inputs_Summary!I$57/1000</f>
        <v>0</v>
      </c>
      <c r="H270" s="50">
        <f>H53*Inputs_Summary!J$57/1000</f>
        <v>220.68057304427469</v>
      </c>
      <c r="I270" s="50">
        <f>I53*Inputs_Summary!K$57/1000</f>
        <v>75.877435637877312</v>
      </c>
      <c r="J270" s="50">
        <f>J53*Inputs_Summary!L$57/1000</f>
        <v>997.15711424605934</v>
      </c>
      <c r="K270" s="50">
        <f>K53*Inputs_Summary!M$57/1000</f>
        <v>0</v>
      </c>
      <c r="L270" s="50">
        <f>L53*Inputs_Summary!N$57/1000</f>
        <v>0</v>
      </c>
      <c r="M270" s="50">
        <f>M53*Inputs_Summary!O$57/1000</f>
        <v>0</v>
      </c>
      <c r="N270" s="50">
        <f>N53*Inputs_Summary!P$57/1000</f>
        <v>0</v>
      </c>
      <c r="O270" s="50">
        <f>O53*Inputs_Summary!Q$57/1000</f>
        <v>0</v>
      </c>
      <c r="P270" s="53"/>
      <c r="Q270" s="5">
        <f>G270+N270</f>
        <v>0</v>
      </c>
      <c r="R270" s="5">
        <f>SUM(K270:L270)</f>
        <v>0</v>
      </c>
      <c r="T270" s="5">
        <f>SUM(C270:O270)</f>
        <v>30442.904177651402</v>
      </c>
      <c r="Y270" s="12"/>
    </row>
    <row r="271" spans="2:25" x14ac:dyDescent="0.3">
      <c r="C271" s="50">
        <f>C54*Inputs_Summary!E$57/1000</f>
        <v>12359.287602878032</v>
      </c>
      <c r="D271" s="50">
        <f>D54*Inputs_Summary!F$57/1000</f>
        <v>169.07131592817768</v>
      </c>
      <c r="E271" s="50">
        <f>E54*Inputs_Summary!G$57/1000</f>
        <v>54.386535010400749</v>
      </c>
      <c r="F271" s="50">
        <f>F54*Inputs_Summary!H$57/1000</f>
        <v>35.307557742486203</v>
      </c>
      <c r="G271" s="50">
        <f>G54*Inputs_Summary!I$57/1000</f>
        <v>0</v>
      </c>
      <c r="H271" s="50">
        <f>H54*Inputs_Summary!J$57/1000</f>
        <v>538.8033346570561</v>
      </c>
      <c r="I271" s="50">
        <f>I54*Inputs_Summary!K$57/1000</f>
        <v>76.21647662537876</v>
      </c>
      <c r="J271" s="50">
        <f>J54*Inputs_Summary!L$57/1000</f>
        <v>3009.8743847573187</v>
      </c>
      <c r="K271" s="50">
        <f>K54*Inputs_Summary!M$57/1000</f>
        <v>0</v>
      </c>
      <c r="L271" s="50">
        <f>L54*Inputs_Summary!N$57/1000</f>
        <v>0</v>
      </c>
      <c r="M271" s="50">
        <f>M54*Inputs_Summary!O$57/1000</f>
        <v>0</v>
      </c>
      <c r="N271" s="50">
        <f>N54*Inputs_Summary!P$57/1000</f>
        <v>0</v>
      </c>
      <c r="O271" s="50">
        <f>O54*Inputs_Summary!Q$57/1000</f>
        <v>0</v>
      </c>
      <c r="P271" s="53"/>
      <c r="Q271" s="5">
        <f>G271+N271</f>
        <v>0</v>
      </c>
      <c r="R271" s="5">
        <f>SUM(K271:L271)</f>
        <v>0</v>
      </c>
      <c r="T271" s="5">
        <f>SUM(C271:O271)</f>
        <v>16242.947207598851</v>
      </c>
      <c r="Y271" s="12"/>
    </row>
    <row r="272" spans="2:25" x14ac:dyDescent="0.3">
      <c r="C272" s="50">
        <f>C55*Inputs_Summary!E$57/1000</f>
        <v>6901.1527388274362</v>
      </c>
      <c r="D272" s="50">
        <f>D55*Inputs_Summary!F$57/1000</f>
        <v>0</v>
      </c>
      <c r="E272" s="50">
        <f>E55*Inputs_Summary!G$57/1000</f>
        <v>146.02959407847294</v>
      </c>
      <c r="F272" s="50">
        <f>F55*Inputs_Summary!H$57/1000</f>
        <v>55.283984242563257</v>
      </c>
      <c r="G272" s="50">
        <f>G55*Inputs_Summary!I$57/1000</f>
        <v>0</v>
      </c>
      <c r="H272" s="50">
        <f>H55*Inputs_Summary!J$57/1000</f>
        <v>893.04834989748667</v>
      </c>
      <c r="I272" s="50">
        <f>I55*Inputs_Summary!K$57/1000</f>
        <v>0</v>
      </c>
      <c r="J272" s="50">
        <f>J55*Inputs_Summary!L$57/1000</f>
        <v>3842.3498788677002</v>
      </c>
      <c r="K272" s="50">
        <f>K55*Inputs_Summary!M$57/1000</f>
        <v>0</v>
      </c>
      <c r="L272" s="50">
        <f>L55*Inputs_Summary!N$57/1000</f>
        <v>0</v>
      </c>
      <c r="M272" s="50">
        <f>M55*Inputs_Summary!O$57/1000</f>
        <v>0</v>
      </c>
      <c r="N272" s="50">
        <f>N55*Inputs_Summary!P$57/1000</f>
        <v>0</v>
      </c>
      <c r="O272" s="50">
        <f>O55*Inputs_Summary!Q$57/1000</f>
        <v>0</v>
      </c>
      <c r="P272" s="53"/>
      <c r="Q272" s="5">
        <f>G272+N272</f>
        <v>0</v>
      </c>
      <c r="R272" s="5">
        <f>SUM(K272:L272)</f>
        <v>0</v>
      </c>
      <c r="T272" s="5">
        <f>SUM(C272:O272)</f>
        <v>11837.864545913659</v>
      </c>
      <c r="Y272" s="60"/>
    </row>
    <row r="273" spans="2:37" x14ac:dyDescent="0.3">
      <c r="B273" s="41"/>
      <c r="Y273" s="12"/>
    </row>
    <row r="274" spans="2:37" ht="28.8" x14ac:dyDescent="0.3">
      <c r="B274" s="43" t="s">
        <v>123</v>
      </c>
      <c r="C274" s="43" t="s">
        <v>0</v>
      </c>
      <c r="D274" s="43" t="s">
        <v>1</v>
      </c>
      <c r="E274" s="43" t="s">
        <v>28</v>
      </c>
      <c r="F274" s="2" t="s">
        <v>29</v>
      </c>
      <c r="G274" s="2" t="s">
        <v>6</v>
      </c>
      <c r="H274" s="43" t="s">
        <v>2</v>
      </c>
      <c r="I274" s="43" t="s">
        <v>3</v>
      </c>
      <c r="J274" s="43" t="s">
        <v>4</v>
      </c>
      <c r="K274" s="43" t="s">
        <v>9</v>
      </c>
      <c r="L274" s="43" t="s">
        <v>8</v>
      </c>
      <c r="M274" s="43" t="s">
        <v>25</v>
      </c>
      <c r="N274" s="43" t="s">
        <v>7</v>
      </c>
      <c r="O274" s="43" t="s">
        <v>89</v>
      </c>
      <c r="P274" s="25"/>
      <c r="Q274" s="43" t="s">
        <v>5</v>
      </c>
      <c r="R274" s="43" t="s">
        <v>91</v>
      </c>
      <c r="T274" s="43" t="s">
        <v>10</v>
      </c>
      <c r="Y274" s="12"/>
    </row>
    <row r="275" spans="2:37" x14ac:dyDescent="0.3">
      <c r="B275" s="38"/>
      <c r="C275" s="50">
        <f>C251+C257+C263+C269</f>
        <v>74582.550745360451</v>
      </c>
      <c r="D275" s="50">
        <f t="shared" ref="D275:O275" si="100">D251+D257+D263+D269</f>
        <v>1371.1807324929616</v>
      </c>
      <c r="E275" s="50">
        <f t="shared" si="100"/>
        <v>28.730916727553129</v>
      </c>
      <c r="F275" s="50">
        <f t="shared" si="100"/>
        <v>76.923919508130496</v>
      </c>
      <c r="G275" s="50">
        <f t="shared" si="100"/>
        <v>0</v>
      </c>
      <c r="H275" s="50">
        <f t="shared" si="100"/>
        <v>498.7548193729865</v>
      </c>
      <c r="I275" s="50">
        <f t="shared" si="100"/>
        <v>120.01213921636821</v>
      </c>
      <c r="J275" s="50">
        <f t="shared" si="100"/>
        <v>337.80303802891547</v>
      </c>
      <c r="K275" s="50">
        <f t="shared" si="100"/>
        <v>0</v>
      </c>
      <c r="L275" s="50">
        <f t="shared" si="100"/>
        <v>0</v>
      </c>
      <c r="M275" s="50">
        <f t="shared" si="100"/>
        <v>0</v>
      </c>
      <c r="N275" s="50">
        <f t="shared" si="100"/>
        <v>0</v>
      </c>
      <c r="O275" s="50">
        <f t="shared" si="100"/>
        <v>0</v>
      </c>
      <c r="P275" s="53"/>
      <c r="Q275" s="5">
        <f>G275+N275</f>
        <v>0</v>
      </c>
      <c r="R275" s="5">
        <f>SUM(K275:L275)</f>
        <v>0</v>
      </c>
      <c r="T275" s="5">
        <f>SUM(C275:O275)</f>
        <v>77015.956310707377</v>
      </c>
      <c r="Y275" s="12"/>
    </row>
    <row r="276" spans="2:37" x14ac:dyDescent="0.3">
      <c r="C276" s="50">
        <f t="shared" ref="C276:O278" si="101">C252+C258+C264+C270</f>
        <v>96466.392780658658</v>
      </c>
      <c r="D276" s="50">
        <f t="shared" si="101"/>
        <v>1359.997839743613</v>
      </c>
      <c r="E276" s="50">
        <f t="shared" si="101"/>
        <v>85.199797462096711</v>
      </c>
      <c r="F276" s="50">
        <f t="shared" si="101"/>
        <v>457.73154144408579</v>
      </c>
      <c r="G276" s="50">
        <f t="shared" si="101"/>
        <v>0</v>
      </c>
      <c r="H276" s="50">
        <f t="shared" si="101"/>
        <v>19058.412050086801</v>
      </c>
      <c r="I276" s="50">
        <f t="shared" si="101"/>
        <v>2858.481877832814</v>
      </c>
      <c r="J276" s="50">
        <f t="shared" si="101"/>
        <v>36058.357891781503</v>
      </c>
      <c r="K276" s="50">
        <f t="shared" si="101"/>
        <v>0</v>
      </c>
      <c r="L276" s="50">
        <f t="shared" si="101"/>
        <v>0</v>
      </c>
      <c r="M276" s="50">
        <f t="shared" si="101"/>
        <v>0</v>
      </c>
      <c r="N276" s="50">
        <f t="shared" si="101"/>
        <v>0</v>
      </c>
      <c r="O276" s="50">
        <f t="shared" si="101"/>
        <v>0</v>
      </c>
      <c r="P276" s="53"/>
      <c r="Q276" s="5">
        <f>G276+N276</f>
        <v>0</v>
      </c>
      <c r="R276" s="5">
        <f>SUM(K276:L276)</f>
        <v>0</v>
      </c>
      <c r="T276" s="5">
        <f>SUM(C276:O276)</f>
        <v>156344.57377900957</v>
      </c>
      <c r="Y276" s="12"/>
    </row>
    <row r="277" spans="2:37" x14ac:dyDescent="0.3">
      <c r="C277" s="50">
        <f t="shared" si="101"/>
        <v>62229.763767482887</v>
      </c>
      <c r="D277" s="50">
        <f t="shared" si="101"/>
        <v>1310.302698443377</v>
      </c>
      <c r="E277" s="50">
        <f t="shared" si="101"/>
        <v>1948.9920550658717</v>
      </c>
      <c r="F277" s="50">
        <f t="shared" si="101"/>
        <v>7457.2145323690793</v>
      </c>
      <c r="G277" s="50">
        <f t="shared" si="101"/>
        <v>0</v>
      </c>
      <c r="H277" s="50">
        <f t="shared" si="101"/>
        <v>63898.903374368747</v>
      </c>
      <c r="I277" s="50">
        <f t="shared" si="101"/>
        <v>3711.7592740453279</v>
      </c>
      <c r="J277" s="50">
        <f t="shared" si="101"/>
        <v>153755.19918049648</v>
      </c>
      <c r="K277" s="50">
        <f t="shared" si="101"/>
        <v>0</v>
      </c>
      <c r="L277" s="50">
        <f t="shared" si="101"/>
        <v>0</v>
      </c>
      <c r="M277" s="50">
        <f t="shared" si="101"/>
        <v>0</v>
      </c>
      <c r="N277" s="50">
        <f t="shared" si="101"/>
        <v>0</v>
      </c>
      <c r="O277" s="50">
        <f t="shared" si="101"/>
        <v>0</v>
      </c>
      <c r="P277" s="53"/>
      <c r="Q277" s="5">
        <f>G277+N277</f>
        <v>0</v>
      </c>
      <c r="R277" s="5">
        <f>SUM(K277:L277)</f>
        <v>0</v>
      </c>
      <c r="T277" s="5">
        <f>SUM(C277:O277)</f>
        <v>294312.13488227176</v>
      </c>
      <c r="Y277" s="12"/>
    </row>
    <row r="278" spans="2:37" x14ac:dyDescent="0.3">
      <c r="C278" s="50">
        <f t="shared" si="101"/>
        <v>48038.613120951333</v>
      </c>
      <c r="D278" s="50">
        <f t="shared" si="101"/>
        <v>0</v>
      </c>
      <c r="E278" s="50">
        <f t="shared" si="101"/>
        <v>5738.4860958303288</v>
      </c>
      <c r="F278" s="50">
        <f t="shared" si="101"/>
        <v>13949.299900202903</v>
      </c>
      <c r="G278" s="50">
        <f t="shared" si="101"/>
        <v>0</v>
      </c>
      <c r="H278" s="50">
        <f t="shared" si="101"/>
        <v>106416.4988468221</v>
      </c>
      <c r="I278" s="50">
        <f t="shared" si="101"/>
        <v>0</v>
      </c>
      <c r="J278" s="50">
        <f t="shared" si="101"/>
        <v>217737.77691639253</v>
      </c>
      <c r="K278" s="50">
        <f t="shared" si="101"/>
        <v>0</v>
      </c>
      <c r="L278" s="50">
        <f t="shared" si="101"/>
        <v>0</v>
      </c>
      <c r="M278" s="50">
        <f t="shared" si="101"/>
        <v>0</v>
      </c>
      <c r="N278" s="50">
        <f t="shared" si="101"/>
        <v>0</v>
      </c>
      <c r="O278" s="50">
        <f t="shared" si="101"/>
        <v>0</v>
      </c>
      <c r="P278" s="53"/>
      <c r="Q278" s="5">
        <f>G278+N278</f>
        <v>0</v>
      </c>
      <c r="R278" s="5">
        <f>SUM(K278:L278)</f>
        <v>0</v>
      </c>
      <c r="T278" s="5">
        <f>SUM(C278:O278)</f>
        <v>391880.67488019919</v>
      </c>
      <c r="Y278" s="60"/>
    </row>
    <row r="279" spans="2:37" s="58" customFormat="1" ht="21" x14ac:dyDescent="0.4">
      <c r="B279" s="59"/>
      <c r="P279" s="11"/>
    </row>
    <row r="280" spans="2:37" s="11" customFormat="1" x14ac:dyDescent="0.3">
      <c r="B280" s="25"/>
      <c r="C280" s="25"/>
      <c r="D280" s="25"/>
      <c r="E280" s="25"/>
      <c r="F280" s="60"/>
      <c r="G280" s="60"/>
      <c r="H280" s="25"/>
      <c r="I280" s="25"/>
      <c r="J280" s="25"/>
      <c r="K280" s="25"/>
      <c r="L280" s="25"/>
      <c r="M280" s="25"/>
      <c r="N280" s="25"/>
      <c r="O280" s="25"/>
      <c r="Q280" s="25"/>
      <c r="R280" s="25"/>
      <c r="S280" s="25"/>
      <c r="T280" s="25"/>
      <c r="U280" s="25"/>
      <c r="V280" s="25"/>
      <c r="X280" s="25"/>
    </row>
    <row r="281" spans="2:37" s="11" customFormat="1" x14ac:dyDescent="0.3"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Q281" s="62"/>
      <c r="R281" s="62"/>
      <c r="S281" s="62"/>
      <c r="T281" s="57"/>
      <c r="U281" s="57"/>
      <c r="V281" s="57"/>
      <c r="W281" s="57"/>
      <c r="X281" s="57"/>
      <c r="Z281" s="77"/>
      <c r="AA281" s="77"/>
      <c r="AB281" s="77"/>
      <c r="AC281" s="12"/>
      <c r="AD281" s="12"/>
      <c r="AF281" s="12"/>
      <c r="AI281" s="12"/>
      <c r="AJ281" s="12"/>
    </row>
    <row r="282" spans="2:37" s="11" customFormat="1" x14ac:dyDescent="0.3"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Q282" s="62"/>
      <c r="R282" s="62"/>
      <c r="S282" s="62"/>
      <c r="T282" s="57"/>
      <c r="U282" s="57"/>
      <c r="V282" s="57"/>
      <c r="W282" s="57"/>
      <c r="X282" s="57"/>
      <c r="Z282" s="78"/>
      <c r="AA282" s="78"/>
      <c r="AB282" s="78"/>
      <c r="AC282" s="12"/>
      <c r="AD282" s="12"/>
      <c r="AF282" s="12"/>
    </row>
    <row r="283" spans="2:37" s="11" customFormat="1" x14ac:dyDescent="0.3"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Q283" s="62"/>
      <c r="R283" s="62"/>
      <c r="S283" s="62"/>
      <c r="T283" s="57"/>
      <c r="U283" s="57"/>
      <c r="V283" s="57"/>
      <c r="W283" s="57"/>
      <c r="X283" s="57"/>
      <c r="Z283" s="78"/>
      <c r="AA283" s="78"/>
      <c r="AB283" s="78"/>
      <c r="AD283" s="12"/>
      <c r="AG283" s="12"/>
      <c r="AH283" s="12"/>
      <c r="AJ283" s="12"/>
      <c r="AK283" s="12"/>
    </row>
    <row r="284" spans="2:37" s="11" customFormat="1" x14ac:dyDescent="0.3"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Q284" s="62"/>
      <c r="R284" s="62"/>
      <c r="S284" s="62"/>
      <c r="T284" s="57"/>
      <c r="U284" s="57"/>
      <c r="V284" s="57"/>
      <c r="W284" s="57"/>
      <c r="X284" s="57"/>
      <c r="Z284" s="78"/>
      <c r="AA284" s="78"/>
      <c r="AB284" s="78"/>
      <c r="AD284" s="12"/>
      <c r="AG284" s="12"/>
      <c r="AI284" s="12"/>
      <c r="AJ284" s="12"/>
    </row>
    <row r="285" spans="2:37" s="11" customFormat="1" x14ac:dyDescent="0.3">
      <c r="T285" s="57"/>
      <c r="U285" s="57"/>
      <c r="V285" s="57"/>
      <c r="W285" s="57"/>
      <c r="X285" s="57"/>
      <c r="AC285" s="12"/>
      <c r="AD285" s="12"/>
      <c r="AF285" s="12"/>
      <c r="AH285" s="12"/>
      <c r="AI285" s="12"/>
      <c r="AJ285" s="12"/>
    </row>
    <row r="286" spans="2:37" s="11" customFormat="1" x14ac:dyDescent="0.3">
      <c r="B286" s="25"/>
      <c r="C286" s="25"/>
      <c r="D286" s="25"/>
      <c r="E286" s="25"/>
      <c r="F286" s="60"/>
      <c r="G286" s="60"/>
      <c r="H286" s="25"/>
      <c r="I286" s="25"/>
      <c r="J286" s="25"/>
      <c r="K286" s="25"/>
      <c r="L286" s="25"/>
      <c r="M286" s="25"/>
      <c r="N286" s="25"/>
      <c r="O286" s="25"/>
      <c r="Q286" s="25"/>
      <c r="R286" s="25"/>
      <c r="S286" s="25"/>
      <c r="T286" s="25"/>
      <c r="U286" s="25"/>
      <c r="V286" s="25"/>
      <c r="X286" s="25"/>
      <c r="Z286" s="77"/>
      <c r="AA286" s="77"/>
      <c r="AB286" s="77"/>
      <c r="AC286" s="12"/>
      <c r="AD286" s="12"/>
      <c r="AG286" s="12"/>
      <c r="AJ286" s="12"/>
    </row>
    <row r="287" spans="2:37" s="11" customFormat="1" x14ac:dyDescent="0.3"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Q287" s="62"/>
      <c r="R287" s="62"/>
      <c r="S287" s="62"/>
      <c r="T287" s="57"/>
      <c r="U287" s="57"/>
      <c r="V287" s="57"/>
      <c r="W287" s="57"/>
      <c r="X287" s="57"/>
      <c r="Z287" s="78"/>
      <c r="AA287" s="78"/>
      <c r="AB287" s="78"/>
      <c r="AC287" s="12"/>
      <c r="AD287" s="12"/>
      <c r="AF287" s="12"/>
      <c r="AG287" s="12"/>
      <c r="AI287" s="12"/>
    </row>
    <row r="288" spans="2:37" s="11" customFormat="1" x14ac:dyDescent="0.3"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Q288" s="62"/>
      <c r="R288" s="62"/>
      <c r="S288" s="62"/>
      <c r="T288" s="57"/>
      <c r="U288" s="57"/>
      <c r="V288" s="57"/>
      <c r="W288" s="57"/>
      <c r="X288" s="57"/>
      <c r="Z288" s="78"/>
      <c r="AA288" s="78"/>
      <c r="AB288" s="78"/>
      <c r="AC288" s="12"/>
      <c r="AD288" s="12"/>
      <c r="AF288" s="12"/>
      <c r="AG288" s="12"/>
      <c r="AJ288" s="12"/>
    </row>
    <row r="289" spans="1:37" s="11" customFormat="1" x14ac:dyDescent="0.3"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Q289" s="62"/>
      <c r="R289" s="62"/>
      <c r="S289" s="62"/>
      <c r="T289" s="57"/>
      <c r="U289" s="57"/>
      <c r="V289" s="57"/>
      <c r="W289" s="57"/>
      <c r="X289" s="57"/>
      <c r="AG289" s="12"/>
      <c r="AJ289" s="12"/>
    </row>
    <row r="290" spans="1:37" s="11" customFormat="1" x14ac:dyDescent="0.3"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Q290" s="62"/>
      <c r="R290" s="62"/>
      <c r="S290" s="62"/>
      <c r="T290" s="57"/>
      <c r="U290" s="57"/>
      <c r="V290" s="57"/>
      <c r="W290" s="57"/>
      <c r="X290" s="57"/>
      <c r="AF290" s="12"/>
      <c r="AG290" s="12"/>
    </row>
    <row r="291" spans="1:37" s="11" customFormat="1" x14ac:dyDescent="0.3">
      <c r="AF291" s="12"/>
      <c r="AG291" s="12"/>
      <c r="AH291" s="12"/>
      <c r="AK291" s="12"/>
    </row>
    <row r="292" spans="1:37" s="11" customFormat="1" x14ac:dyDescent="0.3">
      <c r="B292" s="25"/>
      <c r="C292" s="25"/>
      <c r="D292" s="25"/>
      <c r="E292" s="25"/>
      <c r="F292" s="60"/>
      <c r="G292" s="60"/>
      <c r="H292" s="25"/>
      <c r="I292" s="25"/>
      <c r="J292" s="25"/>
      <c r="K292" s="25"/>
      <c r="L292" s="25"/>
      <c r="M292" s="25"/>
      <c r="N292" s="25"/>
      <c r="O292" s="25"/>
      <c r="Q292" s="25"/>
      <c r="R292" s="25"/>
      <c r="S292" s="25"/>
      <c r="T292" s="25"/>
      <c r="U292" s="25"/>
      <c r="V292" s="25"/>
      <c r="X292" s="25"/>
      <c r="Y292" s="25"/>
      <c r="Z292" s="25"/>
      <c r="AA292" s="25"/>
      <c r="AG292" s="12"/>
    </row>
    <row r="293" spans="1:37" s="11" customFormat="1" x14ac:dyDescent="0.3">
      <c r="A293" s="20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Q293" s="62"/>
      <c r="R293" s="62"/>
      <c r="S293" s="62"/>
      <c r="T293" s="57"/>
      <c r="U293" s="57"/>
      <c r="V293" s="57"/>
      <c r="W293" s="57"/>
      <c r="X293" s="57"/>
      <c r="Y293" s="24"/>
      <c r="Z293" s="24"/>
      <c r="AA293" s="26"/>
      <c r="AD293" s="12"/>
      <c r="AF293" s="12"/>
      <c r="AG293" s="12"/>
      <c r="AH293" s="12"/>
      <c r="AJ293" s="12"/>
      <c r="AK293" s="12"/>
    </row>
    <row r="294" spans="1:37" s="11" customFormat="1" x14ac:dyDescent="0.3">
      <c r="A294" s="20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Q294" s="62"/>
      <c r="R294" s="62"/>
      <c r="S294" s="62"/>
      <c r="T294" s="57"/>
      <c r="U294" s="57"/>
      <c r="V294" s="57"/>
      <c r="W294" s="57"/>
      <c r="X294" s="57"/>
      <c r="Y294" s="24"/>
      <c r="Z294" s="24"/>
      <c r="AA294" s="26"/>
      <c r="AC294" s="12"/>
      <c r="AD294" s="12"/>
      <c r="AF294" s="12"/>
      <c r="AG294" s="12"/>
      <c r="AI294" s="12"/>
      <c r="AJ294" s="12"/>
    </row>
    <row r="295" spans="1:37" s="11" customFormat="1" x14ac:dyDescent="0.3">
      <c r="A295" s="20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Q295" s="62"/>
      <c r="R295" s="62"/>
      <c r="S295" s="62"/>
      <c r="T295" s="57"/>
      <c r="U295" s="57"/>
      <c r="V295" s="57"/>
      <c r="W295" s="57"/>
      <c r="X295" s="57"/>
      <c r="Y295" s="24"/>
      <c r="Z295" s="24"/>
      <c r="AA295" s="26"/>
      <c r="AC295" s="12"/>
      <c r="AD295" s="12"/>
      <c r="AF295" s="12"/>
      <c r="AG295" s="12"/>
      <c r="AI295" s="12"/>
      <c r="AJ295" s="12"/>
    </row>
    <row r="296" spans="1:37" s="11" customFormat="1" x14ac:dyDescent="0.3">
      <c r="A296" s="20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Q296" s="62"/>
      <c r="R296" s="62"/>
      <c r="S296" s="62"/>
      <c r="T296" s="57"/>
      <c r="U296" s="57"/>
      <c r="V296" s="57"/>
      <c r="W296" s="57"/>
      <c r="X296" s="57"/>
      <c r="Y296" s="24"/>
      <c r="Z296" s="24"/>
      <c r="AA296" s="26"/>
      <c r="AC296" s="12"/>
      <c r="AF296" s="12"/>
      <c r="AI296" s="12"/>
    </row>
    <row r="297" spans="1:37" s="11" customFormat="1" x14ac:dyDescent="0.3">
      <c r="AC297" s="12"/>
      <c r="AD297" s="12"/>
      <c r="AF297" s="12"/>
      <c r="AG297" s="12"/>
      <c r="AI297" s="12"/>
      <c r="AJ297" s="12"/>
    </row>
    <row r="298" spans="1:37" s="11" customFormat="1" x14ac:dyDescent="0.3"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Q298" s="26"/>
      <c r="R298" s="26"/>
      <c r="S298" s="26"/>
      <c r="T298" s="28"/>
      <c r="U298" s="28"/>
      <c r="V298" s="28"/>
      <c r="X298" s="27"/>
    </row>
    <row r="299" spans="1:37" s="11" customFormat="1" x14ac:dyDescent="0.3"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Q299" s="26"/>
      <c r="R299" s="26"/>
      <c r="S299" s="26"/>
      <c r="T299" s="28"/>
      <c r="U299" s="28"/>
      <c r="V299" s="28"/>
      <c r="X299" s="27"/>
    </row>
    <row r="300" spans="1:37" s="11" customFormat="1" x14ac:dyDescent="0.3"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Q300" s="26"/>
      <c r="R300" s="26"/>
      <c r="S300" s="26"/>
      <c r="T300" s="28"/>
      <c r="U300" s="28"/>
      <c r="V300" s="28"/>
      <c r="X300" s="27"/>
      <c r="AE300" s="12"/>
    </row>
    <row r="301" spans="1:37" s="11" customFormat="1" x14ac:dyDescent="0.3"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Q301" s="26"/>
      <c r="R301" s="26"/>
      <c r="S301" s="26"/>
      <c r="T301" s="28"/>
      <c r="U301" s="28"/>
      <c r="V301" s="28"/>
      <c r="X301" s="27"/>
    </row>
    <row r="302" spans="1:37" s="11" customFormat="1" x14ac:dyDescent="0.3"/>
    <row r="303" spans="1:37" s="58" customFormat="1" ht="21" x14ac:dyDescent="0.4">
      <c r="B303" s="59"/>
      <c r="P303" s="11"/>
    </row>
    <row r="304" spans="1:37" s="58" customFormat="1" ht="21" x14ac:dyDescent="0.4">
      <c r="B304" s="59"/>
      <c r="P304" s="11"/>
    </row>
    <row r="305" spans="2:24" s="11" customFormat="1" x14ac:dyDescent="0.3">
      <c r="B305" s="3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Q305" s="64"/>
      <c r="R305" s="64"/>
      <c r="S305" s="64"/>
    </row>
    <row r="306" spans="2:24" s="11" customFormat="1" x14ac:dyDescent="0.3">
      <c r="B306" s="25"/>
      <c r="C306" s="25"/>
      <c r="D306" s="25"/>
      <c r="E306" s="25"/>
      <c r="F306" s="60"/>
      <c r="G306" s="60"/>
      <c r="H306" s="25"/>
      <c r="I306" s="25"/>
      <c r="J306" s="25"/>
      <c r="K306" s="25"/>
      <c r="L306" s="25"/>
      <c r="M306" s="25"/>
      <c r="N306" s="25"/>
      <c r="O306" s="25"/>
      <c r="Q306" s="25"/>
      <c r="R306" s="25"/>
      <c r="S306" s="25"/>
      <c r="T306" s="25"/>
      <c r="U306" s="25"/>
      <c r="V306" s="25"/>
      <c r="X306" s="25"/>
    </row>
    <row r="307" spans="2:24" s="11" customFormat="1" x14ac:dyDescent="0.3"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Q307" s="26"/>
      <c r="R307" s="26"/>
      <c r="S307" s="26"/>
      <c r="T307" s="63"/>
      <c r="U307" s="63"/>
      <c r="V307" s="63"/>
      <c r="W307" s="57"/>
      <c r="X307" s="57"/>
    </row>
    <row r="308" spans="2:24" s="11" customFormat="1" x14ac:dyDescent="0.3"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Q308" s="26"/>
      <c r="R308" s="26"/>
      <c r="S308" s="26"/>
      <c r="T308" s="63"/>
      <c r="U308" s="63"/>
      <c r="V308" s="63"/>
      <c r="W308" s="57"/>
      <c r="X308" s="57"/>
    </row>
    <row r="309" spans="2:24" s="11" customFormat="1" x14ac:dyDescent="0.3"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Q309" s="26"/>
      <c r="R309" s="26"/>
      <c r="S309" s="26"/>
      <c r="T309" s="63"/>
      <c r="U309" s="63"/>
      <c r="V309" s="63"/>
      <c r="W309" s="57"/>
      <c r="X309" s="57"/>
    </row>
    <row r="310" spans="2:24" s="11" customFormat="1" x14ac:dyDescent="0.3"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Q310" s="26"/>
      <c r="R310" s="26"/>
      <c r="S310" s="26"/>
      <c r="T310" s="63"/>
      <c r="U310" s="63"/>
      <c r="V310" s="63"/>
      <c r="W310" s="57"/>
      <c r="X310" s="57"/>
    </row>
    <row r="311" spans="2:24" s="11" customFormat="1" x14ac:dyDescent="0.3"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Q311" s="28"/>
      <c r="R311" s="28"/>
      <c r="S311" s="28"/>
      <c r="T311" s="57"/>
      <c r="U311" s="57"/>
      <c r="V311" s="57"/>
      <c r="W311" s="57"/>
      <c r="X311" s="57"/>
    </row>
    <row r="312" spans="2:24" s="11" customFormat="1" x14ac:dyDescent="0.3">
      <c r="B312" s="25"/>
      <c r="C312" s="65"/>
      <c r="D312" s="2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Q312" s="25"/>
      <c r="R312" s="65"/>
      <c r="S312" s="65"/>
      <c r="T312" s="25"/>
      <c r="U312" s="25"/>
      <c r="V312" s="25"/>
      <c r="X312" s="25"/>
    </row>
    <row r="313" spans="2:24" s="11" customFormat="1" x14ac:dyDescent="0.3"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Q313" s="26"/>
      <c r="R313" s="26"/>
      <c r="S313" s="26"/>
      <c r="T313" s="63"/>
      <c r="U313" s="63"/>
      <c r="V313" s="63"/>
      <c r="W313" s="57"/>
      <c r="X313" s="57"/>
    </row>
    <row r="314" spans="2:24" s="11" customFormat="1" x14ac:dyDescent="0.3"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Q314" s="26"/>
      <c r="R314" s="26"/>
      <c r="S314" s="26"/>
      <c r="T314" s="63"/>
      <c r="U314" s="63"/>
      <c r="V314" s="63"/>
      <c r="W314" s="57"/>
      <c r="X314" s="57"/>
    </row>
    <row r="315" spans="2:24" s="11" customFormat="1" x14ac:dyDescent="0.3"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Q315" s="26"/>
      <c r="R315" s="26"/>
      <c r="S315" s="26"/>
      <c r="T315" s="63"/>
      <c r="U315" s="63"/>
      <c r="V315" s="63"/>
      <c r="W315" s="57"/>
      <c r="X315" s="57"/>
    </row>
    <row r="316" spans="2:24" s="11" customFormat="1" x14ac:dyDescent="0.3"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Q316" s="26"/>
      <c r="R316" s="26"/>
      <c r="S316" s="26"/>
      <c r="T316" s="63"/>
      <c r="U316" s="63"/>
      <c r="V316" s="63"/>
      <c r="W316" s="57"/>
      <c r="X316" s="57"/>
    </row>
    <row r="317" spans="2:24" s="11" customFormat="1" x14ac:dyDescent="0.3"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Q317" s="28"/>
      <c r="R317" s="28"/>
      <c r="S317" s="28"/>
    </row>
    <row r="318" spans="2:24" s="11" customFormat="1" x14ac:dyDescent="0.3">
      <c r="B318" s="25"/>
      <c r="C318" s="65"/>
      <c r="D318" s="2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Q318" s="25"/>
      <c r="R318" s="65"/>
      <c r="S318" s="65"/>
      <c r="T318" s="25"/>
      <c r="U318" s="25"/>
      <c r="V318" s="25"/>
      <c r="X318" s="25"/>
    </row>
    <row r="319" spans="2:24" s="11" customFormat="1" x14ac:dyDescent="0.3"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Q319" s="26"/>
      <c r="R319" s="26"/>
      <c r="S319" s="26"/>
      <c r="T319" s="63"/>
      <c r="U319" s="63"/>
      <c r="V319" s="63"/>
      <c r="W319" s="57"/>
      <c r="X319" s="57"/>
    </row>
    <row r="320" spans="2:24" s="11" customFormat="1" x14ac:dyDescent="0.3"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Q320" s="26"/>
      <c r="R320" s="26"/>
      <c r="S320" s="26"/>
      <c r="T320" s="63"/>
      <c r="U320" s="63"/>
      <c r="V320" s="63"/>
      <c r="W320" s="57"/>
      <c r="X320" s="57"/>
    </row>
    <row r="321" spans="2:24" s="11" customFormat="1" x14ac:dyDescent="0.3"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Q321" s="26"/>
      <c r="R321" s="26"/>
      <c r="S321" s="26"/>
      <c r="T321" s="63"/>
      <c r="U321" s="63"/>
      <c r="V321" s="63"/>
      <c r="W321" s="57"/>
      <c r="X321" s="57"/>
    </row>
    <row r="322" spans="2:24" s="11" customFormat="1" x14ac:dyDescent="0.3"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Q322" s="26"/>
      <c r="R322" s="26"/>
      <c r="S322" s="26"/>
      <c r="T322" s="63"/>
      <c r="U322" s="63"/>
      <c r="V322" s="63"/>
      <c r="W322" s="57"/>
      <c r="X322" s="57"/>
    </row>
    <row r="323" spans="2:24" s="11" customFormat="1" x14ac:dyDescent="0.3"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Q323" s="28"/>
      <c r="R323" s="28"/>
      <c r="S323" s="28"/>
    </row>
    <row r="324" spans="2:24" s="11" customFormat="1" x14ac:dyDescent="0.3">
      <c r="C324" s="12"/>
      <c r="D324" s="12"/>
      <c r="E324" s="14"/>
      <c r="F324" s="14"/>
      <c r="G324" s="14"/>
      <c r="H324" s="16"/>
      <c r="I324" s="14"/>
      <c r="J324" s="14"/>
      <c r="K324" s="16"/>
      <c r="L324" s="14"/>
      <c r="M324" s="16"/>
      <c r="N324" s="20"/>
      <c r="O324" s="20"/>
    </row>
    <row r="325" spans="2:24" s="58" customFormat="1" ht="21" x14ac:dyDescent="0.4">
      <c r="B325" s="59"/>
      <c r="P325" s="11"/>
    </row>
    <row r="326" spans="2:24" s="58" customFormat="1" ht="21" x14ac:dyDescent="0.4">
      <c r="B326" s="59"/>
      <c r="P326" s="11"/>
    </row>
    <row r="327" spans="2:24" s="58" customFormat="1" x14ac:dyDescent="0.3">
      <c r="B327" s="67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11"/>
      <c r="Q327" s="62"/>
      <c r="R327" s="62"/>
      <c r="S327" s="61"/>
    </row>
    <row r="328" spans="2:24" s="11" customFormat="1" x14ac:dyDescent="0.3">
      <c r="B328" s="25"/>
      <c r="C328" s="25"/>
      <c r="D328" s="25"/>
      <c r="E328" s="25"/>
      <c r="F328" s="60"/>
      <c r="G328" s="60"/>
      <c r="H328" s="25"/>
      <c r="I328" s="25"/>
      <c r="J328" s="25"/>
      <c r="K328" s="25"/>
      <c r="L328" s="25"/>
      <c r="M328" s="25"/>
      <c r="N328" s="25"/>
      <c r="O328" s="25"/>
      <c r="Q328" s="25"/>
      <c r="R328" s="25"/>
      <c r="S328" s="25"/>
      <c r="T328" s="25"/>
      <c r="U328" s="25"/>
      <c r="V328" s="25"/>
      <c r="X328" s="25"/>
    </row>
    <row r="329" spans="2:24" s="11" customFormat="1" x14ac:dyDescent="0.3"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Q329" s="62"/>
      <c r="R329" s="62"/>
      <c r="S329" s="62"/>
      <c r="T329" s="57"/>
      <c r="U329" s="57"/>
      <c r="V329" s="57"/>
      <c r="W329" s="57"/>
      <c r="X329" s="57"/>
    </row>
    <row r="330" spans="2:24" s="11" customFormat="1" x14ac:dyDescent="0.3"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Q330" s="62"/>
      <c r="R330" s="62"/>
      <c r="S330" s="62"/>
      <c r="T330" s="57"/>
      <c r="U330" s="57"/>
      <c r="V330" s="57"/>
      <c r="W330" s="57"/>
      <c r="X330" s="57"/>
    </row>
    <row r="331" spans="2:24" s="11" customFormat="1" x14ac:dyDescent="0.3"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Q331" s="62"/>
      <c r="R331" s="62"/>
      <c r="S331" s="62"/>
      <c r="T331" s="57"/>
      <c r="U331" s="57"/>
      <c r="V331" s="57"/>
      <c r="W331" s="57"/>
      <c r="X331" s="57"/>
    </row>
    <row r="332" spans="2:24" s="11" customFormat="1" x14ac:dyDescent="0.3"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Q332" s="62"/>
      <c r="R332" s="62"/>
      <c r="S332" s="62"/>
      <c r="T332" s="57"/>
      <c r="U332" s="57"/>
      <c r="V332" s="57"/>
      <c r="W332" s="57"/>
      <c r="X332" s="57"/>
    </row>
    <row r="333" spans="2:24" s="11" customFormat="1" x14ac:dyDescent="0.3">
      <c r="T333" s="57"/>
      <c r="U333" s="57"/>
      <c r="V333" s="57"/>
      <c r="W333" s="57"/>
      <c r="X333" s="57"/>
    </row>
    <row r="334" spans="2:24" s="11" customFormat="1" x14ac:dyDescent="0.3">
      <c r="B334" s="25"/>
      <c r="C334" s="25"/>
      <c r="D334" s="25"/>
      <c r="E334" s="25"/>
      <c r="F334" s="60"/>
      <c r="G334" s="60"/>
      <c r="H334" s="25"/>
      <c r="I334" s="25"/>
      <c r="J334" s="25"/>
      <c r="K334" s="25"/>
      <c r="L334" s="25"/>
      <c r="M334" s="25"/>
      <c r="N334" s="25"/>
      <c r="O334" s="25"/>
      <c r="Q334" s="25"/>
      <c r="R334" s="25"/>
      <c r="S334" s="25"/>
      <c r="T334" s="25"/>
      <c r="U334" s="25"/>
      <c r="V334" s="25"/>
      <c r="X334" s="25"/>
    </row>
    <row r="335" spans="2:24" s="11" customFormat="1" x14ac:dyDescent="0.3"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Q335" s="62"/>
      <c r="R335" s="62"/>
      <c r="S335" s="62"/>
      <c r="T335" s="57"/>
      <c r="U335" s="57"/>
      <c r="V335" s="57"/>
      <c r="W335" s="57"/>
      <c r="X335" s="57"/>
    </row>
    <row r="336" spans="2:24" s="11" customFormat="1" x14ac:dyDescent="0.3"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Q336" s="62"/>
      <c r="R336" s="62"/>
      <c r="S336" s="62"/>
      <c r="T336" s="57"/>
      <c r="U336" s="57"/>
      <c r="V336" s="57"/>
      <c r="W336" s="57"/>
      <c r="X336" s="57"/>
    </row>
    <row r="337" spans="2:27" s="11" customFormat="1" x14ac:dyDescent="0.3"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Q337" s="62"/>
      <c r="R337" s="62"/>
      <c r="S337" s="62"/>
      <c r="T337" s="57"/>
      <c r="U337" s="57"/>
      <c r="V337" s="57"/>
      <c r="W337" s="57"/>
      <c r="X337" s="57"/>
    </row>
    <row r="338" spans="2:27" s="11" customFormat="1" x14ac:dyDescent="0.3"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Q338" s="62"/>
      <c r="R338" s="62"/>
      <c r="S338" s="62"/>
      <c r="T338" s="57"/>
      <c r="U338" s="57"/>
      <c r="V338" s="57"/>
      <c r="W338" s="57"/>
      <c r="X338" s="57"/>
    </row>
    <row r="339" spans="2:27" s="11" customFormat="1" x14ac:dyDescent="0.3"/>
    <row r="340" spans="2:27" s="11" customFormat="1" x14ac:dyDescent="0.3">
      <c r="B340" s="25"/>
      <c r="C340" s="25"/>
      <c r="D340" s="25"/>
      <c r="E340" s="25"/>
      <c r="F340" s="60"/>
      <c r="G340" s="60"/>
      <c r="H340" s="25"/>
      <c r="I340" s="25"/>
      <c r="J340" s="25"/>
      <c r="K340" s="25"/>
      <c r="L340" s="25"/>
      <c r="M340" s="25"/>
      <c r="N340" s="25"/>
      <c r="O340" s="25"/>
      <c r="Q340" s="25"/>
      <c r="R340" s="25"/>
      <c r="S340" s="25"/>
      <c r="T340" s="25"/>
      <c r="U340" s="25"/>
      <c r="V340" s="25"/>
      <c r="X340" s="25"/>
      <c r="Y340" s="25"/>
      <c r="Z340" s="25"/>
      <c r="AA340" s="25"/>
    </row>
    <row r="341" spans="2:27" s="11" customFormat="1" x14ac:dyDescent="0.3"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Q341" s="62"/>
      <c r="R341" s="62"/>
      <c r="S341" s="62"/>
      <c r="T341" s="57"/>
      <c r="U341" s="57"/>
      <c r="V341" s="57"/>
      <c r="W341" s="57"/>
      <c r="X341" s="57"/>
      <c r="Y341" s="35"/>
      <c r="Z341" s="24"/>
      <c r="AA341" s="26"/>
    </row>
    <row r="342" spans="2:27" s="11" customFormat="1" x14ac:dyDescent="0.3"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Q342" s="62"/>
      <c r="R342" s="62"/>
      <c r="S342" s="62"/>
      <c r="T342" s="57"/>
      <c r="U342" s="57"/>
      <c r="V342" s="57"/>
      <c r="W342" s="57"/>
      <c r="X342" s="57"/>
      <c r="Y342" s="35"/>
      <c r="Z342" s="24"/>
      <c r="AA342" s="26"/>
    </row>
    <row r="343" spans="2:27" s="11" customFormat="1" x14ac:dyDescent="0.3"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Q343" s="62"/>
      <c r="R343" s="62"/>
      <c r="S343" s="62"/>
      <c r="T343" s="57"/>
      <c r="U343" s="57"/>
      <c r="V343" s="57"/>
      <c r="W343" s="57"/>
      <c r="X343" s="57"/>
      <c r="Y343" s="35"/>
      <c r="Z343" s="24"/>
      <c r="AA343" s="26"/>
    </row>
    <row r="344" spans="2:27" s="11" customFormat="1" x14ac:dyDescent="0.3"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Q344" s="62"/>
      <c r="R344" s="62"/>
      <c r="S344" s="62"/>
      <c r="T344" s="57"/>
      <c r="U344" s="57"/>
      <c r="V344" s="57"/>
      <c r="W344" s="57"/>
      <c r="X344" s="57"/>
      <c r="Y344" s="35"/>
      <c r="Z344" s="24"/>
      <c r="AA344" s="26"/>
    </row>
    <row r="345" spans="2:27" s="11" customFormat="1" x14ac:dyDescent="0.3"/>
    <row r="346" spans="2:27" s="11" customFormat="1" x14ac:dyDescent="0.3"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Q346" s="29"/>
      <c r="R346" s="29"/>
      <c r="S346" s="29"/>
      <c r="T346" s="28"/>
      <c r="U346" s="28"/>
      <c r="V346" s="28"/>
      <c r="X346" s="27"/>
    </row>
    <row r="347" spans="2:27" s="11" customFormat="1" x14ac:dyDescent="0.3"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Q347" s="29"/>
      <c r="R347" s="29"/>
      <c r="S347" s="29"/>
      <c r="T347" s="28"/>
      <c r="U347" s="28"/>
      <c r="V347" s="28"/>
      <c r="X347" s="27"/>
    </row>
    <row r="348" spans="2:27" s="11" customFormat="1" x14ac:dyDescent="0.3"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Q348" s="29"/>
      <c r="R348" s="29"/>
      <c r="S348" s="29"/>
      <c r="T348" s="28"/>
      <c r="U348" s="28"/>
      <c r="V348" s="28"/>
      <c r="X348" s="27"/>
    </row>
    <row r="349" spans="2:27" s="11" customFormat="1" x14ac:dyDescent="0.3"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Q349" s="29"/>
      <c r="R349" s="29"/>
      <c r="S349" s="29"/>
      <c r="T349" s="28"/>
      <c r="U349" s="28"/>
      <c r="V349" s="28"/>
      <c r="X349" s="27"/>
    </row>
    <row r="350" spans="2:27" s="11" customFormat="1" x14ac:dyDescent="0.3"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Q350" s="29"/>
      <c r="R350" s="29"/>
      <c r="S350" s="29"/>
      <c r="T350" s="28"/>
      <c r="U350" s="28"/>
      <c r="V350" s="28"/>
      <c r="X350" s="27"/>
    </row>
    <row r="351" spans="2:27" s="58" customFormat="1" ht="21" x14ac:dyDescent="0.4">
      <c r="B351" s="59"/>
      <c r="P351" s="11"/>
    </row>
    <row r="352" spans="2:27" s="58" customFormat="1" ht="21" x14ac:dyDescent="0.4">
      <c r="B352" s="59"/>
      <c r="P352" s="11"/>
    </row>
    <row r="353" spans="2:25" s="58" customFormat="1" ht="15.75" customHeight="1" x14ac:dyDescent="0.3">
      <c r="B353" s="67"/>
      <c r="C353" s="62"/>
      <c r="D353" s="56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11"/>
      <c r="Q353" s="62"/>
      <c r="R353" s="62"/>
      <c r="S353" s="61"/>
    </row>
    <row r="354" spans="2:25" s="58" customFormat="1" x14ac:dyDescent="0.3">
      <c r="B354" s="67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11"/>
      <c r="Q354" s="62"/>
      <c r="R354" s="62"/>
      <c r="S354" s="61"/>
    </row>
    <row r="355" spans="2:25" s="58" customFormat="1" x14ac:dyDescent="0.3">
      <c r="B355" s="67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11"/>
      <c r="Q355" s="53"/>
      <c r="R355" s="53"/>
      <c r="S355" s="53"/>
    </row>
    <row r="356" spans="2:25" s="11" customFormat="1" x14ac:dyDescent="0.3">
      <c r="B356" s="25"/>
      <c r="C356" s="25"/>
      <c r="D356" s="25"/>
      <c r="E356" s="25"/>
      <c r="F356" s="60"/>
      <c r="G356" s="60"/>
      <c r="H356" s="25"/>
      <c r="I356" s="25"/>
      <c r="J356" s="25"/>
      <c r="K356" s="25"/>
      <c r="L356" s="25"/>
      <c r="M356" s="25"/>
      <c r="N356" s="25"/>
      <c r="O356" s="25"/>
      <c r="Q356" s="25"/>
      <c r="R356" s="25"/>
      <c r="S356" s="25"/>
      <c r="T356" s="25"/>
      <c r="U356" s="25"/>
      <c r="V356" s="25"/>
      <c r="X356" s="25"/>
    </row>
    <row r="357" spans="2:25" s="11" customFormat="1" x14ac:dyDescent="0.3"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Q357" s="62"/>
      <c r="R357" s="62"/>
      <c r="S357" s="62"/>
      <c r="T357" s="57"/>
      <c r="U357" s="57"/>
      <c r="V357" s="57"/>
      <c r="W357" s="57"/>
      <c r="X357" s="57"/>
    </row>
    <row r="358" spans="2:25" s="11" customFormat="1" x14ac:dyDescent="0.3"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Q358" s="62"/>
      <c r="R358" s="62"/>
      <c r="S358" s="62"/>
      <c r="T358" s="57"/>
      <c r="U358" s="57"/>
      <c r="V358" s="57"/>
      <c r="W358" s="57"/>
      <c r="X358" s="57"/>
    </row>
    <row r="359" spans="2:25" s="11" customFormat="1" x14ac:dyDescent="0.3"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Q359" s="62"/>
      <c r="R359" s="62"/>
      <c r="S359" s="62"/>
      <c r="T359" s="57"/>
      <c r="U359" s="57"/>
      <c r="V359" s="57"/>
      <c r="W359" s="57"/>
      <c r="X359" s="57"/>
    </row>
    <row r="360" spans="2:25" s="11" customFormat="1" x14ac:dyDescent="0.3"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Q360" s="62"/>
      <c r="R360" s="62"/>
      <c r="S360" s="62"/>
      <c r="T360" s="57"/>
      <c r="U360" s="57"/>
      <c r="V360" s="57"/>
      <c r="W360" s="57"/>
      <c r="X360" s="57"/>
    </row>
    <row r="361" spans="2:25" s="11" customFormat="1" x14ac:dyDescent="0.3"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Q361" s="69"/>
      <c r="R361" s="69"/>
      <c r="S361" s="69"/>
      <c r="T361" s="57"/>
      <c r="U361" s="57"/>
      <c r="V361" s="57"/>
      <c r="W361" s="57"/>
      <c r="X361" s="57"/>
    </row>
    <row r="362" spans="2:25" s="11" customFormat="1" x14ac:dyDescent="0.3">
      <c r="T362" s="57"/>
      <c r="U362" s="57"/>
      <c r="V362" s="57"/>
      <c r="W362" s="57"/>
      <c r="X362" s="57"/>
    </row>
    <row r="363" spans="2:25" s="11" customFormat="1" x14ac:dyDescent="0.3">
      <c r="B363" s="67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Q363" s="56"/>
      <c r="R363" s="56"/>
      <c r="S363" s="56"/>
      <c r="T363" s="57"/>
      <c r="U363" s="57"/>
      <c r="V363" s="57"/>
      <c r="W363" s="57"/>
      <c r="X363" s="57"/>
    </row>
    <row r="364" spans="2:25" s="58" customFormat="1" x14ac:dyDescent="0.3">
      <c r="B364" s="11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11"/>
      <c r="Q364" s="56"/>
      <c r="R364" s="56"/>
      <c r="S364" s="56"/>
      <c r="T364" s="57"/>
      <c r="U364" s="57"/>
      <c r="V364" s="57"/>
      <c r="W364" s="57"/>
      <c r="X364" s="57"/>
      <c r="Y364" s="11"/>
    </row>
    <row r="365" spans="2:25" s="58" customFormat="1" x14ac:dyDescent="0.3">
      <c r="B365" s="11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11"/>
      <c r="Q365" s="56"/>
      <c r="R365" s="56"/>
      <c r="S365" s="56"/>
      <c r="T365" s="57"/>
      <c r="U365" s="57"/>
      <c r="V365" s="57"/>
      <c r="W365" s="57"/>
      <c r="X365" s="57"/>
      <c r="Y365" s="11"/>
    </row>
    <row r="366" spans="2:25" s="11" customFormat="1" x14ac:dyDescent="0.3"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Q366" s="56"/>
      <c r="R366" s="56"/>
      <c r="S366" s="56"/>
      <c r="T366" s="57"/>
      <c r="U366" s="57"/>
      <c r="V366" s="57"/>
      <c r="W366" s="57"/>
      <c r="X366" s="57"/>
    </row>
    <row r="367" spans="2:25" s="11" customFormat="1" x14ac:dyDescent="0.3">
      <c r="B367" s="67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Q367" s="56"/>
      <c r="R367" s="56"/>
      <c r="S367" s="56"/>
      <c r="T367" s="58"/>
      <c r="U367" s="58"/>
      <c r="V367" s="58"/>
      <c r="W367" s="58"/>
      <c r="X367" s="58"/>
      <c r="Y367" s="58"/>
    </row>
    <row r="368" spans="2:25" s="11" customFormat="1" x14ac:dyDescent="0.3"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Q368" s="56"/>
      <c r="R368" s="56"/>
      <c r="S368" s="56"/>
      <c r="T368" s="57"/>
      <c r="U368" s="57"/>
      <c r="V368" s="57"/>
      <c r="W368" s="57"/>
      <c r="X368" s="57"/>
      <c r="Y368" s="58"/>
    </row>
    <row r="369" spans="2:27" s="11" customFormat="1" x14ac:dyDescent="0.3"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Q369" s="56"/>
      <c r="R369" s="56"/>
      <c r="S369" s="56"/>
      <c r="T369" s="57"/>
      <c r="U369" s="57"/>
      <c r="V369" s="57"/>
      <c r="W369" s="57"/>
      <c r="X369" s="57"/>
      <c r="Y369" s="58"/>
    </row>
    <row r="370" spans="2:27" s="11" customFormat="1" x14ac:dyDescent="0.3"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Q370" s="56"/>
      <c r="R370" s="56"/>
      <c r="S370" s="56"/>
      <c r="T370" s="57"/>
      <c r="U370" s="57"/>
      <c r="V370" s="57"/>
      <c r="W370" s="57"/>
      <c r="X370" s="57"/>
      <c r="Y370" s="58"/>
    </row>
    <row r="371" spans="2:27" s="11" customFormat="1" x14ac:dyDescent="0.3">
      <c r="B371" s="67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Q371" s="70"/>
      <c r="R371" s="70"/>
      <c r="S371" s="70"/>
      <c r="T371" s="58"/>
      <c r="U371" s="58"/>
      <c r="V371" s="58"/>
      <c r="W371" s="58"/>
      <c r="X371" s="58"/>
      <c r="Y371" s="58"/>
    </row>
    <row r="372" spans="2:27" s="11" customFormat="1" x14ac:dyDescent="0.3"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Q372" s="70"/>
      <c r="R372" s="70"/>
      <c r="S372" s="70"/>
      <c r="T372" s="57"/>
      <c r="U372" s="57"/>
      <c r="V372" s="57"/>
      <c r="W372" s="57"/>
      <c r="X372" s="57"/>
      <c r="Y372" s="58"/>
      <c r="Z372" s="25"/>
      <c r="AA372" s="25"/>
    </row>
    <row r="373" spans="2:27" s="11" customFormat="1" x14ac:dyDescent="0.3"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Q373" s="70"/>
      <c r="R373" s="70"/>
      <c r="S373" s="70"/>
      <c r="T373" s="57"/>
      <c r="U373" s="57"/>
      <c r="V373" s="57"/>
      <c r="W373" s="57"/>
      <c r="X373" s="57"/>
      <c r="Y373" s="58"/>
      <c r="Z373" s="24"/>
      <c r="AA373" s="26"/>
    </row>
    <row r="374" spans="2:27" s="11" customFormat="1" x14ac:dyDescent="0.3"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Q374" s="70"/>
      <c r="R374" s="70"/>
      <c r="S374" s="70"/>
      <c r="T374" s="57"/>
      <c r="U374" s="57"/>
      <c r="V374" s="57"/>
      <c r="W374" s="57"/>
      <c r="X374" s="57"/>
      <c r="Y374" s="58"/>
      <c r="Z374" s="24"/>
      <c r="AA374" s="26"/>
    </row>
    <row r="375" spans="2:27" s="11" customFormat="1" x14ac:dyDescent="0.3">
      <c r="B375" s="25"/>
      <c r="C375" s="25"/>
      <c r="D375" s="25"/>
      <c r="E375" s="25"/>
      <c r="F375" s="60"/>
      <c r="G375" s="60"/>
      <c r="H375" s="25"/>
      <c r="I375" s="25"/>
      <c r="J375" s="25"/>
      <c r="K375" s="25"/>
      <c r="L375" s="25"/>
      <c r="M375" s="25"/>
      <c r="N375" s="25"/>
      <c r="O375" s="25"/>
      <c r="Q375" s="25"/>
      <c r="R375" s="25"/>
      <c r="S375" s="25"/>
      <c r="T375" s="25"/>
      <c r="U375" s="25"/>
      <c r="V375" s="25"/>
      <c r="X375" s="25"/>
      <c r="Z375" s="24"/>
      <c r="AA375" s="26"/>
    </row>
    <row r="376" spans="2:27" s="11" customFormat="1" x14ac:dyDescent="0.3"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Q376" s="62"/>
      <c r="R376" s="62"/>
      <c r="S376" s="62"/>
      <c r="T376" s="57"/>
      <c r="U376" s="57"/>
      <c r="V376" s="57"/>
      <c r="W376" s="57"/>
      <c r="X376" s="57"/>
      <c r="Z376" s="24"/>
      <c r="AA376" s="26"/>
    </row>
    <row r="377" spans="2:27" s="11" customFormat="1" x14ac:dyDescent="0.3"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Q377" s="62"/>
      <c r="R377" s="62"/>
      <c r="S377" s="62"/>
      <c r="T377" s="57"/>
      <c r="U377" s="57"/>
      <c r="V377" s="57"/>
      <c r="W377" s="57"/>
      <c r="X377" s="57"/>
    </row>
    <row r="378" spans="2:27" s="11" customFormat="1" x14ac:dyDescent="0.3"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Q378" s="62"/>
      <c r="R378" s="62"/>
      <c r="S378" s="62"/>
      <c r="T378" s="57"/>
      <c r="U378" s="57"/>
      <c r="V378" s="57"/>
      <c r="W378" s="57"/>
      <c r="X378" s="57"/>
    </row>
    <row r="379" spans="2:27" s="11" customFormat="1" x14ac:dyDescent="0.3"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Q379" s="62"/>
      <c r="R379" s="62"/>
      <c r="S379" s="62"/>
      <c r="T379" s="57"/>
      <c r="U379" s="57"/>
      <c r="V379" s="57"/>
      <c r="W379" s="57"/>
      <c r="X379" s="57"/>
    </row>
    <row r="380" spans="2:27" s="11" customFormat="1" x14ac:dyDescent="0.3"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Q380" s="69"/>
      <c r="R380" s="69"/>
      <c r="S380" s="69"/>
    </row>
    <row r="381" spans="2:27" s="11" customFormat="1" x14ac:dyDescent="0.3">
      <c r="B381" s="25"/>
      <c r="C381" s="25"/>
      <c r="D381" s="25"/>
      <c r="E381" s="25"/>
      <c r="F381" s="60"/>
      <c r="G381" s="60"/>
      <c r="H381" s="25"/>
      <c r="I381" s="25"/>
      <c r="J381" s="25"/>
      <c r="K381" s="25"/>
      <c r="L381" s="25"/>
      <c r="M381" s="25"/>
      <c r="N381" s="25"/>
      <c r="O381" s="25"/>
      <c r="Q381" s="25"/>
      <c r="R381" s="25"/>
      <c r="S381" s="25"/>
      <c r="T381" s="25"/>
      <c r="U381" s="25"/>
      <c r="V381" s="25"/>
      <c r="X381" s="25"/>
      <c r="Y381" s="25"/>
      <c r="Z381" s="25"/>
    </row>
    <row r="382" spans="2:27" s="11" customFormat="1" x14ac:dyDescent="0.3"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Q382" s="62"/>
      <c r="R382" s="62"/>
      <c r="S382" s="62"/>
      <c r="T382" s="57"/>
      <c r="U382" s="57"/>
      <c r="V382" s="57"/>
      <c r="W382" s="57"/>
      <c r="X382" s="71"/>
      <c r="Y382" s="35"/>
      <c r="Z382" s="72"/>
    </row>
    <row r="383" spans="2:27" s="11" customFormat="1" x14ac:dyDescent="0.3"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Q383" s="62"/>
      <c r="R383" s="62"/>
      <c r="S383" s="62"/>
      <c r="T383" s="57"/>
      <c r="U383" s="57"/>
      <c r="V383" s="57"/>
      <c r="W383" s="57"/>
      <c r="X383" s="71"/>
      <c r="Y383" s="35"/>
      <c r="Z383" s="72"/>
    </row>
    <row r="384" spans="2:27" s="11" customFormat="1" x14ac:dyDescent="0.3"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Q384" s="62"/>
      <c r="R384" s="62"/>
      <c r="S384" s="62"/>
      <c r="T384" s="57"/>
      <c r="U384" s="57"/>
      <c r="V384" s="57"/>
      <c r="W384" s="57"/>
      <c r="X384" s="71"/>
      <c r="Y384" s="35"/>
      <c r="Z384" s="72"/>
    </row>
    <row r="385" spans="2:26" s="11" customFormat="1" x14ac:dyDescent="0.3"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Q385" s="62"/>
      <c r="R385" s="62"/>
      <c r="S385" s="62"/>
      <c r="T385" s="57"/>
      <c r="U385" s="57"/>
      <c r="V385" s="57"/>
      <c r="W385" s="57"/>
      <c r="X385" s="71"/>
      <c r="Y385" s="35"/>
      <c r="Z385" s="72"/>
    </row>
    <row r="386" spans="2:26" s="11" customFormat="1" x14ac:dyDescent="0.3"/>
    <row r="387" spans="2:26" s="11" customFormat="1" x14ac:dyDescent="0.3"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Q387" s="29"/>
      <c r="R387" s="29"/>
      <c r="S387" s="29"/>
      <c r="T387" s="28"/>
      <c r="U387" s="28"/>
      <c r="V387" s="28"/>
      <c r="X387" s="27"/>
    </row>
    <row r="388" spans="2:26" s="11" customFormat="1" x14ac:dyDescent="0.3"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Q388" s="29"/>
      <c r="R388" s="29"/>
      <c r="S388" s="29"/>
      <c r="T388" s="28"/>
      <c r="U388" s="28"/>
      <c r="V388" s="28"/>
      <c r="X388" s="27"/>
    </row>
    <row r="389" spans="2:26" s="11" customFormat="1" x14ac:dyDescent="0.3"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Q389" s="29"/>
      <c r="R389" s="29"/>
      <c r="S389" s="29"/>
      <c r="T389" s="28"/>
      <c r="U389" s="28"/>
      <c r="V389" s="28"/>
      <c r="X389" s="27"/>
    </row>
    <row r="390" spans="2:26" s="11" customFormat="1" x14ac:dyDescent="0.3"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Q390" s="29"/>
      <c r="R390" s="29"/>
      <c r="S390" s="29"/>
      <c r="T390" s="28"/>
      <c r="U390" s="28"/>
      <c r="V390" s="28"/>
      <c r="X390" s="27"/>
    </row>
    <row r="391" spans="2:26" s="11" customFormat="1" x14ac:dyDescent="0.3"/>
    <row r="392" spans="2:26" s="11" customFormat="1" x14ac:dyDescent="0.3">
      <c r="B392" s="34"/>
      <c r="C392" s="25"/>
      <c r="D392" s="25"/>
      <c r="E392" s="25"/>
      <c r="F392" s="60"/>
      <c r="G392" s="60"/>
      <c r="H392" s="25"/>
      <c r="I392" s="25"/>
      <c r="J392" s="25"/>
      <c r="K392" s="25"/>
      <c r="L392" s="25"/>
      <c r="M392" s="25"/>
      <c r="N392" s="25"/>
      <c r="O392" s="25"/>
      <c r="Q392" s="25"/>
      <c r="R392" s="25"/>
      <c r="S392" s="25"/>
      <c r="T392" s="25"/>
      <c r="U392" s="25"/>
      <c r="V392" s="25"/>
      <c r="X392" s="54"/>
    </row>
    <row r="393" spans="2:26" s="11" customFormat="1" x14ac:dyDescent="0.3"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Q393" s="53"/>
      <c r="R393" s="53"/>
      <c r="S393" s="53"/>
      <c r="X393" s="54"/>
    </row>
    <row r="394" spans="2:26" s="11" customFormat="1" x14ac:dyDescent="0.3"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Q394" s="53"/>
      <c r="R394" s="53"/>
      <c r="S394" s="53"/>
      <c r="X394" s="54"/>
    </row>
    <row r="395" spans="2:26" s="11" customFormat="1" x14ac:dyDescent="0.3"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Q395" s="53"/>
      <c r="R395" s="53"/>
      <c r="S395" s="53"/>
      <c r="X395" s="54"/>
    </row>
    <row r="396" spans="2:26" s="11" customFormat="1" x14ac:dyDescent="0.3"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Q396" s="53"/>
      <c r="R396" s="53"/>
      <c r="S396" s="53"/>
      <c r="X396" s="54"/>
    </row>
    <row r="397" spans="2:26" s="11" customFormat="1" x14ac:dyDescent="0.3">
      <c r="B397" s="34"/>
    </row>
    <row r="398" spans="2:26" s="11" customFormat="1" x14ac:dyDescent="0.3">
      <c r="B398" s="34"/>
      <c r="X398" s="54"/>
    </row>
    <row r="399" spans="2:26" s="11" customFormat="1" x14ac:dyDescent="0.3"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Q399" s="53"/>
      <c r="R399" s="53"/>
      <c r="S399" s="53"/>
      <c r="X399" s="54"/>
    </row>
    <row r="400" spans="2:26" s="11" customFormat="1" x14ac:dyDescent="0.3"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Q400" s="53"/>
      <c r="R400" s="53"/>
      <c r="S400" s="53"/>
      <c r="X400" s="54"/>
    </row>
    <row r="401" spans="2:26" s="11" customFormat="1" x14ac:dyDescent="0.3"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Q401" s="53"/>
      <c r="R401" s="53"/>
      <c r="S401" s="53"/>
      <c r="X401" s="54"/>
    </row>
    <row r="402" spans="2:26" s="11" customFormat="1" x14ac:dyDescent="0.3"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Q402" s="53"/>
      <c r="R402" s="53"/>
      <c r="S402" s="53"/>
      <c r="X402" s="54"/>
    </row>
    <row r="403" spans="2:26" s="11" customFormat="1" x14ac:dyDescent="0.3">
      <c r="B403" s="34"/>
    </row>
    <row r="404" spans="2:26" s="11" customFormat="1" x14ac:dyDescent="0.3">
      <c r="B404" s="34"/>
      <c r="Y404" s="70"/>
      <c r="Z404" s="61"/>
    </row>
    <row r="405" spans="2:26" s="11" customFormat="1" x14ac:dyDescent="0.3"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Q405" s="53"/>
      <c r="R405" s="53"/>
      <c r="S405" s="53"/>
      <c r="X405" s="73"/>
      <c r="Y405" s="54"/>
      <c r="Z405" s="54"/>
    </row>
    <row r="406" spans="2:26" s="11" customFormat="1" x14ac:dyDescent="0.3"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Q406" s="53"/>
      <c r="R406" s="53"/>
      <c r="S406" s="53"/>
      <c r="X406" s="73"/>
      <c r="Y406" s="54"/>
      <c r="Z406" s="54"/>
    </row>
    <row r="407" spans="2:26" s="11" customFormat="1" x14ac:dyDescent="0.3"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Q407" s="53"/>
      <c r="R407" s="53"/>
      <c r="S407" s="53"/>
      <c r="X407" s="73"/>
      <c r="Y407" s="54"/>
      <c r="Z407" s="54"/>
    </row>
    <row r="408" spans="2:26" s="11" customFormat="1" x14ac:dyDescent="0.3"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Q408" s="53"/>
      <c r="R408" s="53"/>
      <c r="S408" s="53"/>
      <c r="X408" s="73"/>
      <c r="Y408" s="54"/>
      <c r="Z408" s="54"/>
    </row>
    <row r="409" spans="2:26" s="11" customFormat="1" x14ac:dyDescent="0.3"/>
    <row r="410" spans="2:26" s="11" customFormat="1" x14ac:dyDescent="0.3"/>
    <row r="411" spans="2:26" s="11" customFormat="1" x14ac:dyDescent="0.3"/>
    <row r="412" spans="2:26" s="11" customFormat="1" x14ac:dyDescent="0.3"/>
    <row r="413" spans="2:26" s="11" customFormat="1" x14ac:dyDescent="0.3"/>
    <row r="414" spans="2:26" s="11" customFormat="1" x14ac:dyDescent="0.3"/>
    <row r="415" spans="2:26" s="11" customFormat="1" x14ac:dyDescent="0.3"/>
    <row r="416" spans="2:26" s="11" customFormat="1" x14ac:dyDescent="0.3"/>
    <row r="417" s="11" customFormat="1" x14ac:dyDescent="0.3"/>
    <row r="418" s="11" customFormat="1" x14ac:dyDescent="0.3"/>
    <row r="419" s="11" customFormat="1" x14ac:dyDescent="0.3"/>
    <row r="420" s="11" customFormat="1" x14ac:dyDescent="0.3"/>
    <row r="421" s="11" customFormat="1" x14ac:dyDescent="0.3"/>
    <row r="422" s="11" customFormat="1" x14ac:dyDescent="0.3"/>
    <row r="423" s="11" customFormat="1" x14ac:dyDescent="0.3"/>
    <row r="424" s="11" customFormat="1" x14ac:dyDescent="0.3"/>
    <row r="425" s="11" customFormat="1" x14ac:dyDescent="0.3"/>
    <row r="426" s="11" customFormat="1" x14ac:dyDescent="0.3"/>
    <row r="427" s="11" customFormat="1" x14ac:dyDescent="0.3"/>
    <row r="428" s="11" customFormat="1" x14ac:dyDescent="0.3"/>
    <row r="429" s="11" customFormat="1" x14ac:dyDescent="0.3"/>
    <row r="430" s="11" customFormat="1" x14ac:dyDescent="0.3"/>
    <row r="431" s="11" customFormat="1" x14ac:dyDescent="0.3"/>
    <row r="432" s="11" customFormat="1" x14ac:dyDescent="0.3"/>
    <row r="433" s="11" customFormat="1" x14ac:dyDescent="0.3"/>
    <row r="434" s="11" customFormat="1" x14ac:dyDescent="0.3"/>
    <row r="435" s="11" customFormat="1" x14ac:dyDescent="0.3"/>
    <row r="436" s="11" customFormat="1" x14ac:dyDescent="0.3"/>
    <row r="437" s="11" customFormat="1" x14ac:dyDescent="0.3"/>
    <row r="438" s="11" customFormat="1" x14ac:dyDescent="0.3"/>
    <row r="439" s="11" customFormat="1" x14ac:dyDescent="0.3"/>
    <row r="440" s="11" customFormat="1" x14ac:dyDescent="0.3"/>
    <row r="441" s="11" customFormat="1" x14ac:dyDescent="0.3"/>
    <row r="442" s="11" customFormat="1" x14ac:dyDescent="0.3"/>
    <row r="443" s="11" customFormat="1" x14ac:dyDescent="0.3"/>
    <row r="444" s="11" customFormat="1" x14ac:dyDescent="0.3"/>
    <row r="445" s="11" customFormat="1" x14ac:dyDescent="0.3"/>
    <row r="446" s="11" customFormat="1" x14ac:dyDescent="0.3"/>
    <row r="447" s="11" customFormat="1" x14ac:dyDescent="0.3"/>
    <row r="448" s="11" customFormat="1" x14ac:dyDescent="0.3"/>
    <row r="449" s="11" customFormat="1" x14ac:dyDescent="0.3"/>
    <row r="450" s="11" customFormat="1" x14ac:dyDescent="0.3"/>
    <row r="451" s="11" customFormat="1" x14ac:dyDescent="0.3"/>
    <row r="452" s="11" customFormat="1" x14ac:dyDescent="0.3"/>
    <row r="453" s="11" customFormat="1" x14ac:dyDescent="0.3"/>
    <row r="454" s="11" customFormat="1" x14ac:dyDescent="0.3"/>
    <row r="455" s="11" customFormat="1" x14ac:dyDescent="0.3"/>
    <row r="456" s="11" customFormat="1" x14ac:dyDescent="0.3"/>
    <row r="457" s="11" customFormat="1" x14ac:dyDescent="0.3"/>
    <row r="458" s="11" customFormat="1" x14ac:dyDescent="0.3"/>
    <row r="459" s="11" customFormat="1" x14ac:dyDescent="0.3"/>
    <row r="460" s="11" customFormat="1" x14ac:dyDescent="0.3"/>
    <row r="461" s="11" customFormat="1" x14ac:dyDescent="0.3"/>
    <row r="462" s="11" customFormat="1" x14ac:dyDescent="0.3"/>
    <row r="463" s="11" customFormat="1" x14ac:dyDescent="0.3"/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463"/>
  <sheetViews>
    <sheetView topLeftCell="A22" zoomScale="85" zoomScaleNormal="85" workbookViewId="0">
      <selection activeCell="C35" sqref="C35:O49"/>
    </sheetView>
  </sheetViews>
  <sheetFormatPr defaultColWidth="9.109375" defaultRowHeight="14.4" x14ac:dyDescent="0.3"/>
  <cols>
    <col min="1" max="1" width="9.109375" style="3"/>
    <col min="2" max="2" width="43.109375" style="3" customWidth="1"/>
    <col min="3" max="3" width="10.109375" style="3" bestFit="1" customWidth="1"/>
    <col min="4" max="4" width="10.109375" style="3" customWidth="1"/>
    <col min="5" max="5" width="9.5546875" style="3" bestFit="1" customWidth="1"/>
    <col min="6" max="6" width="11.109375" style="3" bestFit="1" customWidth="1"/>
    <col min="7" max="7" width="10.109375" style="3" bestFit="1" customWidth="1"/>
    <col min="8" max="8" width="9.44140625" style="3" bestFit="1" customWidth="1"/>
    <col min="9" max="10" width="11.109375" style="3" bestFit="1" customWidth="1"/>
    <col min="11" max="11" width="9.44140625" style="3" bestFit="1" customWidth="1"/>
    <col min="12" max="12" width="10.109375" style="3" bestFit="1" customWidth="1"/>
    <col min="13" max="13" width="11.109375" style="3" bestFit="1" customWidth="1"/>
    <col min="14" max="14" width="9.44140625" style="3" bestFit="1" customWidth="1"/>
    <col min="15" max="15" width="9.44140625" style="3" customWidth="1"/>
    <col min="16" max="16" width="1.5546875" style="11" customWidth="1"/>
    <col min="17" max="19" width="9.44140625" style="3" bestFit="1" customWidth="1"/>
    <col min="20" max="20" width="10" style="3" bestFit="1" customWidth="1"/>
    <col min="21" max="21" width="10.88671875" style="3" bestFit="1" customWidth="1"/>
    <col min="22" max="22" width="9.5546875" style="3" bestFit="1" customWidth="1"/>
    <col min="23" max="23" width="9.5546875" style="3" customWidth="1"/>
    <col min="24" max="24" width="12.33203125" style="3" bestFit="1" customWidth="1"/>
    <col min="25" max="25" width="9.88671875" style="3" bestFit="1" customWidth="1"/>
    <col min="26" max="26" width="10.88671875" style="3" bestFit="1" customWidth="1"/>
    <col min="27" max="29" width="9.109375" style="3"/>
    <col min="30" max="30" width="9.6640625" style="3" bestFit="1" customWidth="1"/>
    <col min="31" max="16384" width="9.109375" style="3"/>
  </cols>
  <sheetData>
    <row r="2" spans="2:20" s="9" customFormat="1" ht="21" x14ac:dyDescent="0.35">
      <c r="B2" s="10" t="s">
        <v>11</v>
      </c>
    </row>
    <row r="3" spans="2:20" ht="30" x14ac:dyDescent="0.25">
      <c r="B3" s="43" t="s">
        <v>31</v>
      </c>
      <c r="C3" s="43" t="s">
        <v>0</v>
      </c>
      <c r="D3" s="43" t="s">
        <v>1</v>
      </c>
      <c r="E3" s="43" t="s">
        <v>28</v>
      </c>
      <c r="F3" s="2" t="s">
        <v>29</v>
      </c>
      <c r="G3" s="2" t="s">
        <v>6</v>
      </c>
      <c r="H3" s="43" t="s">
        <v>2</v>
      </c>
      <c r="I3" s="43" t="s">
        <v>3</v>
      </c>
      <c r="J3" s="43" t="s">
        <v>4</v>
      </c>
      <c r="K3" s="43" t="s">
        <v>9</v>
      </c>
      <c r="L3" s="43" t="s">
        <v>8</v>
      </c>
      <c r="M3" s="43" t="s">
        <v>25</v>
      </c>
      <c r="N3" s="43" t="s">
        <v>7</v>
      </c>
      <c r="O3" s="43" t="s">
        <v>89</v>
      </c>
      <c r="P3" s="25"/>
      <c r="Q3" s="43" t="s">
        <v>5</v>
      </c>
      <c r="R3" s="43" t="s">
        <v>91</v>
      </c>
      <c r="T3" s="43" t="s">
        <v>10</v>
      </c>
    </row>
    <row r="4" spans="2:20" ht="15" x14ac:dyDescent="0.25">
      <c r="B4" s="3">
        <v>2016</v>
      </c>
      <c r="C4" s="74">
        <f>'HC-BC'!C4</f>
        <v>36060</v>
      </c>
      <c r="D4" s="74">
        <f>'HC-BC'!D4</f>
        <v>1860</v>
      </c>
      <c r="E4" s="74">
        <f>'HC-BC'!E4</f>
        <v>424.6</v>
      </c>
      <c r="F4" s="74">
        <f>'HC-BC'!F4</f>
        <v>3419</v>
      </c>
      <c r="G4" s="74">
        <f>'HC-BC'!G4</f>
        <v>2179</v>
      </c>
      <c r="H4" s="74">
        <f>'HC-BC'!H4</f>
        <v>1306</v>
      </c>
      <c r="I4" s="74">
        <f>'HC-BC'!I4</f>
        <v>200</v>
      </c>
      <c r="J4" s="74">
        <f>'HC-BC'!J4</f>
        <v>1479</v>
      </c>
      <c r="K4" s="74">
        <f>'HC-BC'!K4</f>
        <v>0</v>
      </c>
      <c r="L4" s="74">
        <f>'HC-BC'!L4</f>
        <v>264</v>
      </c>
      <c r="M4" s="74">
        <f>'HC-BC'!M4</f>
        <v>0</v>
      </c>
      <c r="N4" s="74">
        <f>'HC-BC'!N4</f>
        <v>1580</v>
      </c>
      <c r="O4" s="74">
        <f>'HC-BC'!P4</f>
        <v>0</v>
      </c>
      <c r="P4" s="89"/>
      <c r="Q4" s="39">
        <f>G4+N4</f>
        <v>3759</v>
      </c>
      <c r="R4" s="5">
        <f>SUM(K4:L4)</f>
        <v>264</v>
      </c>
      <c r="T4" s="5">
        <f>SUM(C4:O4)</f>
        <v>48771.6</v>
      </c>
    </row>
    <row r="5" spans="2:20" ht="15" x14ac:dyDescent="0.25">
      <c r="B5" s="3">
        <v>2030</v>
      </c>
      <c r="C5" s="74">
        <f>'HC-BC'!C5</f>
        <v>23080</v>
      </c>
      <c r="D5" s="74">
        <f>'HC-BC'!D5</f>
        <v>1860</v>
      </c>
      <c r="E5" s="74">
        <f>'HC-BC'!E5</f>
        <v>424.6</v>
      </c>
      <c r="F5" s="74">
        <f>'HC-BC'!F5</f>
        <v>3077</v>
      </c>
      <c r="G5" s="74">
        <f>'HC-BC'!G5</f>
        <v>2179</v>
      </c>
      <c r="H5" s="74">
        <f>'HC-BC'!H5</f>
        <v>1306</v>
      </c>
      <c r="I5" s="74">
        <f>'HC-BC'!I5</f>
        <v>200</v>
      </c>
      <c r="J5" s="74">
        <f>'HC-BC'!J5</f>
        <v>1479</v>
      </c>
      <c r="K5" s="74">
        <f>'HC-BC'!K5</f>
        <v>0</v>
      </c>
      <c r="L5" s="74">
        <f>'HC-BC'!L5</f>
        <v>264</v>
      </c>
      <c r="M5" s="74">
        <f>'HC-BC'!M5</f>
        <v>0</v>
      </c>
      <c r="N5" s="74">
        <f>'HC-BC'!N5</f>
        <v>1580</v>
      </c>
      <c r="O5" s="74">
        <f>'HC-BC'!P5</f>
        <v>0</v>
      </c>
      <c r="P5" s="89"/>
      <c r="Q5" s="39">
        <f>G5+N5</f>
        <v>3759</v>
      </c>
      <c r="R5" s="5">
        <f>SUM(K5:L5)</f>
        <v>264</v>
      </c>
      <c r="T5" s="5">
        <f t="shared" ref="T5:T7" si="0">SUM(C5:O5)</f>
        <v>35449.599999999999</v>
      </c>
    </row>
    <row r="6" spans="2:20" ht="15" x14ac:dyDescent="0.25">
      <c r="B6" s="3">
        <v>2040</v>
      </c>
      <c r="C6" s="74">
        <f>'HC-BC'!C6</f>
        <v>7660</v>
      </c>
      <c r="D6" s="74">
        <f>'HC-BC'!D6</f>
        <v>1860</v>
      </c>
      <c r="E6" s="74">
        <f>'HC-BC'!E6</f>
        <v>424.6</v>
      </c>
      <c r="F6" s="74">
        <f>'HC-BC'!F6</f>
        <v>1005</v>
      </c>
      <c r="G6" s="74">
        <f>'HC-BC'!G6</f>
        <v>2179</v>
      </c>
      <c r="H6" s="74">
        <f>'HC-BC'!H6</f>
        <v>0</v>
      </c>
      <c r="I6" s="74">
        <f>'HC-BC'!I6</f>
        <v>200</v>
      </c>
      <c r="J6" s="74">
        <f>'HC-BC'!J6</f>
        <v>435</v>
      </c>
      <c r="K6" s="74">
        <f>'HC-BC'!K6</f>
        <v>0</v>
      </c>
      <c r="L6" s="74">
        <f>'HC-BC'!L6</f>
        <v>264</v>
      </c>
      <c r="M6" s="74">
        <f>'HC-BC'!M6</f>
        <v>0</v>
      </c>
      <c r="N6" s="74">
        <f>'HC-BC'!N6</f>
        <v>1580</v>
      </c>
      <c r="O6" s="74">
        <f>'HC-BC'!P6</f>
        <v>0</v>
      </c>
      <c r="P6" s="89"/>
      <c r="Q6" s="39">
        <f>G6+N6</f>
        <v>3759</v>
      </c>
      <c r="R6" s="5">
        <f>SUM(K6:L6)</f>
        <v>264</v>
      </c>
      <c r="T6" s="5">
        <f t="shared" si="0"/>
        <v>15607.6</v>
      </c>
    </row>
    <row r="7" spans="2:20" ht="15" x14ac:dyDescent="0.25">
      <c r="B7" s="3">
        <v>2050</v>
      </c>
      <c r="C7" s="74">
        <f>'HC-BC'!C7</f>
        <v>670</v>
      </c>
      <c r="D7" s="74">
        <f>'HC-BC'!D7</f>
        <v>0</v>
      </c>
      <c r="E7" s="74">
        <f>'HC-BC'!E7</f>
        <v>424.6</v>
      </c>
      <c r="F7" s="74">
        <f>'HC-BC'!F7</f>
        <v>0</v>
      </c>
      <c r="G7" s="74">
        <f>'HC-BC'!G7</f>
        <v>2179</v>
      </c>
      <c r="H7" s="74">
        <f>'HC-BC'!H7</f>
        <v>0</v>
      </c>
      <c r="I7" s="74">
        <f>'HC-BC'!I7</f>
        <v>0</v>
      </c>
      <c r="J7" s="74">
        <f>'HC-BC'!J7</f>
        <v>0</v>
      </c>
      <c r="K7" s="74">
        <f>'HC-BC'!K7</f>
        <v>0</v>
      </c>
      <c r="L7" s="74">
        <f>'HC-BC'!L7</f>
        <v>264</v>
      </c>
      <c r="M7" s="74">
        <f>'HC-BC'!M7</f>
        <v>0</v>
      </c>
      <c r="N7" s="74">
        <f>'HC-BC'!N7</f>
        <v>1580</v>
      </c>
      <c r="O7" s="74">
        <f>'HC-BC'!P7</f>
        <v>0</v>
      </c>
      <c r="P7" s="89"/>
      <c r="Q7" s="39">
        <f>G7+N7</f>
        <v>3759</v>
      </c>
      <c r="R7" s="5">
        <f>SUM(K7:L7)</f>
        <v>264</v>
      </c>
      <c r="T7" s="5">
        <f t="shared" si="0"/>
        <v>5117.6000000000004</v>
      </c>
    </row>
    <row r="9" spans="2:20" ht="30" x14ac:dyDescent="0.25">
      <c r="B9" s="43" t="s">
        <v>30</v>
      </c>
      <c r="C9" s="43" t="s">
        <v>0</v>
      </c>
      <c r="D9" s="43" t="s">
        <v>1</v>
      </c>
      <c r="E9" s="43" t="s">
        <v>28</v>
      </c>
      <c r="F9" s="2" t="s">
        <v>29</v>
      </c>
      <c r="G9" s="2" t="s">
        <v>6</v>
      </c>
      <c r="H9" s="43" t="s">
        <v>2</v>
      </c>
      <c r="I9" s="43" t="s">
        <v>3</v>
      </c>
      <c r="J9" s="43" t="s">
        <v>4</v>
      </c>
      <c r="K9" s="43" t="s">
        <v>9</v>
      </c>
      <c r="L9" s="43" t="s">
        <v>8</v>
      </c>
      <c r="M9" s="43" t="s">
        <v>25</v>
      </c>
      <c r="N9" s="43" t="s">
        <v>7</v>
      </c>
      <c r="O9" s="43" t="s">
        <v>89</v>
      </c>
      <c r="P9" s="25"/>
      <c r="Q9" s="43" t="s">
        <v>5</v>
      </c>
      <c r="R9" s="43" t="s">
        <v>91</v>
      </c>
      <c r="T9" s="43" t="s">
        <v>10</v>
      </c>
    </row>
    <row r="10" spans="2:20" ht="15" x14ac:dyDescent="0.25">
      <c r="B10" s="3">
        <v>2016</v>
      </c>
      <c r="C10" s="74">
        <f>'HC-BC'!C10</f>
        <v>722</v>
      </c>
      <c r="D10" s="74">
        <f>'HC-BC'!D10</f>
        <v>0</v>
      </c>
      <c r="E10" s="74">
        <f>'HC-BC'!E10</f>
        <v>0</v>
      </c>
      <c r="F10" s="74">
        <f>'HC-BC'!F10</f>
        <v>0</v>
      </c>
      <c r="G10" s="74">
        <f>'HC-BC'!G10</f>
        <v>0</v>
      </c>
      <c r="H10" s="74">
        <f>'HC-BC'!H10</f>
        <v>154</v>
      </c>
      <c r="I10" s="74">
        <f>'HC-BC'!I10</f>
        <v>0</v>
      </c>
      <c r="J10" s="74">
        <f>'HC-BC'!J10</f>
        <v>0</v>
      </c>
      <c r="K10" s="74">
        <f>'HC-BC'!K10</f>
        <v>0</v>
      </c>
      <c r="L10" s="74">
        <f>'HC-BC'!L10</f>
        <v>0</v>
      </c>
      <c r="M10" s="74">
        <f>'HC-BC'!M10</f>
        <v>0</v>
      </c>
      <c r="N10" s="74">
        <f>'HC-BC'!N10</f>
        <v>0</v>
      </c>
      <c r="O10" s="74">
        <f>'HC-BC'!P10</f>
        <v>0</v>
      </c>
      <c r="P10" s="89"/>
      <c r="Q10" s="39">
        <f>G10+N10</f>
        <v>0</v>
      </c>
      <c r="R10" s="5">
        <f>SUM(K10:L10)</f>
        <v>0</v>
      </c>
      <c r="T10" s="5">
        <f>SUM(C10:O10)</f>
        <v>876</v>
      </c>
    </row>
    <row r="11" spans="2:20" ht="15" x14ac:dyDescent="0.25">
      <c r="B11" s="3">
        <v>2030</v>
      </c>
      <c r="C11" s="74">
        <f>'HC-BC'!C11</f>
        <v>9536</v>
      </c>
      <c r="D11" s="74">
        <f>'HC-BC'!D11</f>
        <v>0</v>
      </c>
      <c r="E11" s="74">
        <f>'HC-BC'!E11</f>
        <v>0</v>
      </c>
      <c r="F11" s="74">
        <f>'HC-BC'!F11</f>
        <v>0</v>
      </c>
      <c r="G11" s="74">
        <f>'HC-BC'!G11</f>
        <v>45</v>
      </c>
      <c r="H11" s="74">
        <f>'HC-BC'!H11</f>
        <v>2800</v>
      </c>
      <c r="I11" s="74">
        <f>'HC-BC'!I11</f>
        <v>850</v>
      </c>
      <c r="J11" s="74">
        <f>'HC-BC'!J11</f>
        <v>1332</v>
      </c>
      <c r="K11" s="74">
        <f>'HC-BC'!K11</f>
        <v>53</v>
      </c>
      <c r="L11" s="74">
        <f>'HC-BC'!L11</f>
        <v>153</v>
      </c>
      <c r="M11" s="74">
        <f>'HC-BC'!M11</f>
        <v>0</v>
      </c>
      <c r="N11" s="74">
        <f>'HC-BC'!N11</f>
        <v>1332</v>
      </c>
      <c r="O11" s="74">
        <f>'HC-BC'!P11</f>
        <v>0</v>
      </c>
      <c r="P11" s="89"/>
      <c r="Q11" s="39">
        <f>G11+N11</f>
        <v>1377</v>
      </c>
      <c r="R11" s="5">
        <f>SUM(K11:L11)</f>
        <v>206</v>
      </c>
      <c r="T11" s="5">
        <f t="shared" ref="T11:T13" si="1">SUM(C11:O11)</f>
        <v>16101</v>
      </c>
    </row>
    <row r="12" spans="2:20" ht="15" x14ac:dyDescent="0.25">
      <c r="B12" s="3">
        <v>2040</v>
      </c>
      <c r="C12" s="74">
        <f>'HC-BC'!C12</f>
        <v>9536</v>
      </c>
      <c r="D12" s="74">
        <f>'HC-BC'!D12</f>
        <v>0</v>
      </c>
      <c r="E12" s="74">
        <f>'HC-BC'!E12</f>
        <v>0</v>
      </c>
      <c r="F12" s="74">
        <f>'HC-BC'!F12</f>
        <v>0</v>
      </c>
      <c r="G12" s="74">
        <f>'HC-BC'!G12</f>
        <v>45</v>
      </c>
      <c r="H12" s="74">
        <f>'HC-BC'!H12</f>
        <v>0</v>
      </c>
      <c r="I12" s="74">
        <f>'HC-BC'!I12</f>
        <v>850</v>
      </c>
      <c r="J12" s="74">
        <f>'HC-BC'!J12</f>
        <v>1332</v>
      </c>
      <c r="K12" s="74">
        <f>'HC-BC'!K12</f>
        <v>53</v>
      </c>
      <c r="L12" s="74">
        <f>'HC-BC'!L12</f>
        <v>153</v>
      </c>
      <c r="M12" s="74">
        <f>'HC-BC'!M12</f>
        <v>0</v>
      </c>
      <c r="N12" s="74">
        <f>'HC-BC'!N12</f>
        <v>1332</v>
      </c>
      <c r="O12" s="74">
        <f>'HC-BC'!P12</f>
        <v>0</v>
      </c>
      <c r="P12" s="89"/>
      <c r="Q12" s="39">
        <f>G12+N12</f>
        <v>1377</v>
      </c>
      <c r="R12" s="5">
        <f>SUM(K12:L12)</f>
        <v>206</v>
      </c>
      <c r="T12" s="5">
        <f t="shared" si="1"/>
        <v>13301</v>
      </c>
    </row>
    <row r="13" spans="2:20" ht="15" x14ac:dyDescent="0.25">
      <c r="B13" s="3">
        <v>2050</v>
      </c>
      <c r="C13" s="74">
        <f>'HC-BC'!C13</f>
        <v>9536</v>
      </c>
      <c r="D13" s="74">
        <f>'HC-BC'!D13</f>
        <v>0</v>
      </c>
      <c r="E13" s="74">
        <f>'HC-BC'!E13</f>
        <v>0</v>
      </c>
      <c r="F13" s="74">
        <f>'HC-BC'!F13</f>
        <v>0</v>
      </c>
      <c r="G13" s="74">
        <f>'HC-BC'!G13</f>
        <v>45</v>
      </c>
      <c r="H13" s="74">
        <f>'HC-BC'!H13</f>
        <v>0</v>
      </c>
      <c r="I13" s="74">
        <f>'HC-BC'!I13</f>
        <v>0</v>
      </c>
      <c r="J13" s="74">
        <f>'HC-BC'!J13</f>
        <v>0</v>
      </c>
      <c r="K13" s="74">
        <f>'HC-BC'!K13</f>
        <v>0</v>
      </c>
      <c r="L13" s="74">
        <f>'HC-BC'!L13</f>
        <v>0</v>
      </c>
      <c r="M13" s="74">
        <f>'HC-BC'!M13</f>
        <v>0</v>
      </c>
      <c r="N13" s="74">
        <f>'HC-BC'!N13</f>
        <v>1332</v>
      </c>
      <c r="O13" s="74">
        <f>'HC-BC'!P13</f>
        <v>0</v>
      </c>
      <c r="P13" s="89"/>
      <c r="Q13" s="39">
        <f>G13+N13</f>
        <v>1377</v>
      </c>
      <c r="R13" s="5">
        <f>SUM(K13:L13)</f>
        <v>0</v>
      </c>
      <c r="T13" s="5">
        <f t="shared" si="1"/>
        <v>10913</v>
      </c>
    </row>
    <row r="15" spans="2:20" ht="30" x14ac:dyDescent="0.25">
      <c r="B15" s="43" t="s">
        <v>32</v>
      </c>
      <c r="C15" s="43" t="s">
        <v>0</v>
      </c>
      <c r="D15" s="43" t="s">
        <v>1</v>
      </c>
      <c r="E15" s="43" t="s">
        <v>28</v>
      </c>
      <c r="F15" s="2" t="s">
        <v>29</v>
      </c>
      <c r="G15" s="2" t="s">
        <v>6</v>
      </c>
      <c r="H15" s="43" t="s">
        <v>2</v>
      </c>
      <c r="I15" s="43" t="s">
        <v>3</v>
      </c>
      <c r="J15" s="43" t="s">
        <v>4</v>
      </c>
      <c r="K15" s="43" t="s">
        <v>9</v>
      </c>
      <c r="L15" s="43" t="s">
        <v>8</v>
      </c>
      <c r="M15" s="43" t="s">
        <v>25</v>
      </c>
      <c r="N15" s="43" t="s">
        <v>7</v>
      </c>
      <c r="O15" s="43" t="s">
        <v>89</v>
      </c>
      <c r="P15" s="25"/>
      <c r="Q15" s="43" t="s">
        <v>5</v>
      </c>
      <c r="R15" s="43" t="s">
        <v>91</v>
      </c>
      <c r="T15" s="43" t="s">
        <v>10</v>
      </c>
    </row>
    <row r="16" spans="2:20" ht="15" x14ac:dyDescent="0.25">
      <c r="B16" s="3">
        <v>2016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89"/>
      <c r="Q16" s="39">
        <f>G16+N16</f>
        <v>0</v>
      </c>
      <c r="R16" s="5">
        <f>SUM(K16:L16)</f>
        <v>0</v>
      </c>
      <c r="T16" s="5">
        <f>SUM(C16:O16)</f>
        <v>0</v>
      </c>
    </row>
    <row r="17" spans="1:23" ht="15" x14ac:dyDescent="0.25">
      <c r="B17" s="3">
        <v>2030</v>
      </c>
      <c r="C17" s="44">
        <v>0</v>
      </c>
      <c r="D17" s="44">
        <v>0</v>
      </c>
      <c r="E17" s="44">
        <v>5124</v>
      </c>
      <c r="F17" s="44">
        <v>5808</v>
      </c>
      <c r="G17" s="44">
        <v>0</v>
      </c>
      <c r="H17" s="44">
        <v>7000</v>
      </c>
      <c r="I17" s="44">
        <v>0</v>
      </c>
      <c r="J17" s="44">
        <v>4100</v>
      </c>
      <c r="K17" s="44">
        <v>250</v>
      </c>
      <c r="L17" s="44">
        <v>0</v>
      </c>
      <c r="M17" s="44">
        <v>0</v>
      </c>
      <c r="N17" s="44">
        <v>333</v>
      </c>
      <c r="O17" s="44">
        <v>6</v>
      </c>
      <c r="P17" s="89"/>
      <c r="Q17" s="39">
        <f>G17+N17</f>
        <v>333</v>
      </c>
      <c r="R17" s="5">
        <f>SUM(K17:L17)</f>
        <v>250</v>
      </c>
      <c r="T17" s="5">
        <f t="shared" ref="T17:T19" si="2">SUM(C17:O17)</f>
        <v>22621</v>
      </c>
    </row>
    <row r="18" spans="1:23" ht="15" x14ac:dyDescent="0.25">
      <c r="B18" s="3">
        <v>2040</v>
      </c>
      <c r="C18" s="44">
        <v>9000</v>
      </c>
      <c r="D18" s="44">
        <v>0</v>
      </c>
      <c r="E18" s="44">
        <v>8784</v>
      </c>
      <c r="F18" s="44">
        <v>11352</v>
      </c>
      <c r="G18" s="44">
        <v>2500</v>
      </c>
      <c r="H18" s="44">
        <v>21300</v>
      </c>
      <c r="I18" s="44">
        <v>0</v>
      </c>
      <c r="J18" s="44">
        <v>10600</v>
      </c>
      <c r="K18" s="44">
        <v>255</v>
      </c>
      <c r="L18" s="44">
        <v>0</v>
      </c>
      <c r="M18" s="44">
        <v>0</v>
      </c>
      <c r="N18" s="44">
        <v>333</v>
      </c>
      <c r="O18" s="44">
        <v>6</v>
      </c>
      <c r="P18" s="89"/>
      <c r="Q18" s="39">
        <f>G18+N18</f>
        <v>2833</v>
      </c>
      <c r="R18" s="5">
        <f>SUM(K18:L18)</f>
        <v>255</v>
      </c>
      <c r="T18" s="5">
        <f t="shared" si="2"/>
        <v>64130</v>
      </c>
    </row>
    <row r="19" spans="1:23" ht="15" x14ac:dyDescent="0.25">
      <c r="B19" s="3">
        <v>2050</v>
      </c>
      <c r="C19" s="44">
        <v>17250</v>
      </c>
      <c r="D19" s="44">
        <v>0</v>
      </c>
      <c r="E19" s="44">
        <v>10980</v>
      </c>
      <c r="F19" s="44">
        <v>14784</v>
      </c>
      <c r="G19" s="44">
        <v>2500</v>
      </c>
      <c r="H19" s="44">
        <v>30400</v>
      </c>
      <c r="I19" s="44">
        <v>0</v>
      </c>
      <c r="J19" s="44">
        <v>15800</v>
      </c>
      <c r="K19" s="44">
        <v>255</v>
      </c>
      <c r="L19" s="44">
        <v>0</v>
      </c>
      <c r="M19" s="44">
        <v>0</v>
      </c>
      <c r="N19" s="44">
        <v>333</v>
      </c>
      <c r="O19" s="44">
        <v>6</v>
      </c>
      <c r="P19" s="89"/>
      <c r="Q19" s="39">
        <f>G19+N19</f>
        <v>2833</v>
      </c>
      <c r="R19" s="5">
        <f>SUM(K19:L19)</f>
        <v>255</v>
      </c>
      <c r="T19" s="5">
        <f t="shared" si="2"/>
        <v>92308</v>
      </c>
    </row>
    <row r="21" spans="1:23" ht="30" x14ac:dyDescent="0.25">
      <c r="B21" s="43" t="s">
        <v>33</v>
      </c>
      <c r="C21" s="43" t="s">
        <v>0</v>
      </c>
      <c r="D21" s="43" t="s">
        <v>1</v>
      </c>
      <c r="E21" s="43" t="s">
        <v>28</v>
      </c>
      <c r="F21" s="2" t="s">
        <v>29</v>
      </c>
      <c r="G21" s="2" t="s">
        <v>6</v>
      </c>
      <c r="H21" s="43" t="s">
        <v>2</v>
      </c>
      <c r="I21" s="43" t="s">
        <v>3</v>
      </c>
      <c r="J21" s="43" t="s">
        <v>4</v>
      </c>
      <c r="K21" s="43" t="s">
        <v>9</v>
      </c>
      <c r="L21" s="43" t="s">
        <v>8</v>
      </c>
      <c r="M21" s="43" t="s">
        <v>25</v>
      </c>
      <c r="N21" s="43" t="s">
        <v>7</v>
      </c>
      <c r="O21" s="43" t="s">
        <v>89</v>
      </c>
      <c r="P21" s="25"/>
      <c r="Q21" s="43" t="s">
        <v>5</v>
      </c>
      <c r="R21" s="43" t="s">
        <v>91</v>
      </c>
      <c r="T21" s="43" t="s">
        <v>10</v>
      </c>
      <c r="V21" s="25"/>
      <c r="W21" s="25"/>
    </row>
    <row r="22" spans="1:23" ht="15" x14ac:dyDescent="0.25">
      <c r="A22" s="39">
        <f>C22-C16</f>
        <v>36782</v>
      </c>
      <c r="B22" s="3">
        <v>2016</v>
      </c>
      <c r="C22" s="50">
        <f>C4+C10+C16</f>
        <v>36782</v>
      </c>
      <c r="D22" s="50">
        <f t="shared" ref="D22:O25" si="3">D4+D10+D16</f>
        <v>1860</v>
      </c>
      <c r="E22" s="50">
        <f t="shared" si="3"/>
        <v>424.6</v>
      </c>
      <c r="F22" s="50">
        <f t="shared" si="3"/>
        <v>3419</v>
      </c>
      <c r="G22" s="50">
        <f t="shared" si="3"/>
        <v>2179</v>
      </c>
      <c r="H22" s="50">
        <f t="shared" si="3"/>
        <v>1460</v>
      </c>
      <c r="I22" s="50">
        <f t="shared" si="3"/>
        <v>200</v>
      </c>
      <c r="J22" s="50">
        <f t="shared" si="3"/>
        <v>1479</v>
      </c>
      <c r="K22" s="50">
        <f t="shared" si="3"/>
        <v>0</v>
      </c>
      <c r="L22" s="50">
        <f t="shared" si="3"/>
        <v>264</v>
      </c>
      <c r="M22" s="50">
        <f t="shared" si="3"/>
        <v>0</v>
      </c>
      <c r="N22" s="50">
        <f t="shared" si="3"/>
        <v>1580</v>
      </c>
      <c r="O22" s="50">
        <f t="shared" si="3"/>
        <v>0</v>
      </c>
      <c r="P22" s="56"/>
      <c r="Q22" s="39">
        <f>G22+N22</f>
        <v>3759</v>
      </c>
      <c r="R22" s="5">
        <f>SUM(K22:L22)</f>
        <v>264</v>
      </c>
      <c r="T22" s="5">
        <f>SUM(C22:O22)</f>
        <v>49647.6</v>
      </c>
      <c r="V22" s="24"/>
      <c r="W22" s="26"/>
    </row>
    <row r="23" spans="1:23" ht="15" x14ac:dyDescent="0.25">
      <c r="A23" s="39">
        <f t="shared" ref="A23:A25" si="4">C23-C17</f>
        <v>32616</v>
      </c>
      <c r="B23" s="3">
        <v>2030</v>
      </c>
      <c r="C23" s="50">
        <f t="shared" ref="C23:N25" si="5">C5+C11+C17</f>
        <v>32616</v>
      </c>
      <c r="D23" s="50">
        <f t="shared" si="5"/>
        <v>1860</v>
      </c>
      <c r="E23" s="50">
        <f t="shared" si="5"/>
        <v>5548.6</v>
      </c>
      <c r="F23" s="50">
        <f t="shared" si="5"/>
        <v>8885</v>
      </c>
      <c r="G23" s="50">
        <f t="shared" si="5"/>
        <v>2224</v>
      </c>
      <c r="H23" s="50">
        <f t="shared" si="5"/>
        <v>11106</v>
      </c>
      <c r="I23" s="50">
        <f t="shared" si="5"/>
        <v>1050</v>
      </c>
      <c r="J23" s="50">
        <f t="shared" si="5"/>
        <v>6911</v>
      </c>
      <c r="K23" s="50">
        <f t="shared" si="5"/>
        <v>303</v>
      </c>
      <c r="L23" s="50">
        <f t="shared" si="5"/>
        <v>417</v>
      </c>
      <c r="M23" s="50">
        <f t="shared" si="5"/>
        <v>0</v>
      </c>
      <c r="N23" s="50">
        <f t="shared" si="5"/>
        <v>3245</v>
      </c>
      <c r="O23" s="50">
        <f t="shared" si="3"/>
        <v>6</v>
      </c>
      <c r="P23" s="56"/>
      <c r="Q23" s="39">
        <f>G23+N23</f>
        <v>5469</v>
      </c>
      <c r="R23" s="5">
        <f>SUM(K23:L23)</f>
        <v>720</v>
      </c>
      <c r="T23" s="5">
        <f t="shared" ref="T23:T25" si="6">SUM(C23:O23)</f>
        <v>74171.600000000006</v>
      </c>
      <c r="V23" s="24"/>
      <c r="W23" s="26"/>
    </row>
    <row r="24" spans="1:23" ht="15" x14ac:dyDescent="0.25">
      <c r="A24" s="39">
        <f t="shared" si="4"/>
        <v>17196</v>
      </c>
      <c r="B24" s="3">
        <v>2040</v>
      </c>
      <c r="C24" s="50">
        <f t="shared" si="5"/>
        <v>26196</v>
      </c>
      <c r="D24" s="50">
        <f t="shared" si="5"/>
        <v>1860</v>
      </c>
      <c r="E24" s="50">
        <f t="shared" si="5"/>
        <v>9208.6</v>
      </c>
      <c r="F24" s="50">
        <f t="shared" si="5"/>
        <v>12357</v>
      </c>
      <c r="G24" s="50">
        <f t="shared" si="5"/>
        <v>4724</v>
      </c>
      <c r="H24" s="50">
        <f t="shared" si="5"/>
        <v>21300</v>
      </c>
      <c r="I24" s="50">
        <f t="shared" si="5"/>
        <v>1050</v>
      </c>
      <c r="J24" s="50">
        <f t="shared" si="5"/>
        <v>12367</v>
      </c>
      <c r="K24" s="50">
        <f t="shared" si="5"/>
        <v>308</v>
      </c>
      <c r="L24" s="50">
        <f t="shared" si="5"/>
        <v>417</v>
      </c>
      <c r="M24" s="50">
        <f t="shared" si="5"/>
        <v>0</v>
      </c>
      <c r="N24" s="50">
        <f t="shared" si="5"/>
        <v>3245</v>
      </c>
      <c r="O24" s="50">
        <f t="shared" si="3"/>
        <v>6</v>
      </c>
      <c r="P24" s="56"/>
      <c r="Q24" s="39">
        <f>G24+N24</f>
        <v>7969</v>
      </c>
      <c r="R24" s="5">
        <f>SUM(K24:L24)</f>
        <v>725</v>
      </c>
      <c r="T24" s="5">
        <f t="shared" si="6"/>
        <v>93038.6</v>
      </c>
      <c r="V24" s="24"/>
      <c r="W24" s="26"/>
    </row>
    <row r="25" spans="1:23" x14ac:dyDescent="0.3">
      <c r="A25" s="39">
        <f t="shared" si="4"/>
        <v>10206</v>
      </c>
      <c r="B25" s="3">
        <v>2050</v>
      </c>
      <c r="C25" s="50">
        <f t="shared" si="5"/>
        <v>27456</v>
      </c>
      <c r="D25" s="50">
        <f t="shared" si="5"/>
        <v>0</v>
      </c>
      <c r="E25" s="50">
        <f t="shared" si="5"/>
        <v>11404.6</v>
      </c>
      <c r="F25" s="50">
        <f t="shared" si="5"/>
        <v>14784</v>
      </c>
      <c r="G25" s="50">
        <f t="shared" si="5"/>
        <v>4724</v>
      </c>
      <c r="H25" s="50">
        <f t="shared" si="5"/>
        <v>30400</v>
      </c>
      <c r="I25" s="50">
        <f t="shared" si="5"/>
        <v>0</v>
      </c>
      <c r="J25" s="50">
        <f t="shared" si="5"/>
        <v>15800</v>
      </c>
      <c r="K25" s="50">
        <f t="shared" si="5"/>
        <v>255</v>
      </c>
      <c r="L25" s="50">
        <f t="shared" si="5"/>
        <v>264</v>
      </c>
      <c r="M25" s="50">
        <f t="shared" si="5"/>
        <v>0</v>
      </c>
      <c r="N25" s="50">
        <f t="shared" si="5"/>
        <v>3245</v>
      </c>
      <c r="O25" s="50">
        <f t="shared" si="3"/>
        <v>6</v>
      </c>
      <c r="P25" s="56"/>
      <c r="Q25" s="39">
        <f>G25+N25</f>
        <v>7969</v>
      </c>
      <c r="R25" s="5">
        <f>SUM(K25:L25)</f>
        <v>519</v>
      </c>
      <c r="T25" s="5">
        <f t="shared" si="6"/>
        <v>108338.6</v>
      </c>
      <c r="V25" s="24"/>
      <c r="W25" s="26"/>
    </row>
    <row r="26" spans="1:23" x14ac:dyDescent="0.3">
      <c r="A26" s="39"/>
      <c r="V26" s="11"/>
      <c r="W26" s="11"/>
    </row>
    <row r="27" spans="1:23" x14ac:dyDescent="0.3">
      <c r="A27" s="39"/>
      <c r="B27" s="3">
        <v>2016</v>
      </c>
      <c r="C27" s="23">
        <f t="shared" ref="C27:O27" si="7">C22/$T22</f>
        <v>0.74086159250396799</v>
      </c>
      <c r="D27" s="23">
        <f t="shared" si="7"/>
        <v>3.74640466004399E-2</v>
      </c>
      <c r="E27" s="23">
        <f t="shared" si="7"/>
        <v>8.5522764443799904E-3</v>
      </c>
      <c r="F27" s="23">
        <f t="shared" si="7"/>
        <v>6.8865363078980654E-2</v>
      </c>
      <c r="G27" s="23">
        <f t="shared" si="7"/>
        <v>4.3889332012020721E-2</v>
      </c>
      <c r="H27" s="23">
        <f t="shared" si="7"/>
        <v>2.9407262385291535E-2</v>
      </c>
      <c r="I27" s="23">
        <f t="shared" si="7"/>
        <v>4.0283921075741826E-3</v>
      </c>
      <c r="J27" s="23">
        <f t="shared" si="7"/>
        <v>2.9789959635511083E-2</v>
      </c>
      <c r="K27" s="23">
        <f t="shared" si="7"/>
        <v>0</v>
      </c>
      <c r="L27" s="23">
        <f t="shared" si="7"/>
        <v>5.3174775819979214E-3</v>
      </c>
      <c r="M27" s="23">
        <f t="shared" si="7"/>
        <v>0</v>
      </c>
      <c r="N27" s="23">
        <f t="shared" si="7"/>
        <v>3.1824297649836047E-2</v>
      </c>
      <c r="O27" s="23">
        <f t="shared" si="7"/>
        <v>0</v>
      </c>
      <c r="P27" s="26"/>
      <c r="Q27" s="7">
        <f t="shared" ref="Q27:R30" si="8">Q22/$T22</f>
        <v>7.5713629661856768E-2</v>
      </c>
      <c r="R27" s="7">
        <f t="shared" si="8"/>
        <v>5.3174775819979214E-3</v>
      </c>
      <c r="T27" s="8">
        <f>SUM(C27:O27)</f>
        <v>1</v>
      </c>
    </row>
    <row r="28" spans="1:23" x14ac:dyDescent="0.3">
      <c r="A28" s="39"/>
      <c r="B28" s="3">
        <v>2030</v>
      </c>
      <c r="C28" s="23">
        <f t="shared" ref="C28:O28" si="9">C23/$T23</f>
        <v>0.43973704221022597</v>
      </c>
      <c r="D28" s="23">
        <f t="shared" si="9"/>
        <v>2.5076983643335184E-2</v>
      </c>
      <c r="E28" s="23">
        <f t="shared" si="9"/>
        <v>7.480760830290839E-2</v>
      </c>
      <c r="F28" s="23">
        <f t="shared" si="9"/>
        <v>0.11978978476937263</v>
      </c>
      <c r="G28" s="23">
        <f t="shared" si="9"/>
        <v>2.9984522377837337E-2</v>
      </c>
      <c r="H28" s="23">
        <f t="shared" si="9"/>
        <v>0.14973386039939815</v>
      </c>
      <c r="I28" s="23">
        <f t="shared" si="9"/>
        <v>1.4156361734140829E-2</v>
      </c>
      <c r="J28" s="23">
        <f t="shared" si="9"/>
        <v>9.3175824709187879E-2</v>
      </c>
      <c r="K28" s="23">
        <f t="shared" si="9"/>
        <v>4.0851215289949248E-3</v>
      </c>
      <c r="L28" s="23">
        <f t="shared" si="9"/>
        <v>5.6220979458445003E-3</v>
      </c>
      <c r="M28" s="23">
        <f t="shared" si="9"/>
        <v>0</v>
      </c>
      <c r="N28" s="23">
        <f t="shared" si="9"/>
        <v>4.3749898883130467E-2</v>
      </c>
      <c r="O28" s="23">
        <f t="shared" si="9"/>
        <v>8.0893495623661875E-5</v>
      </c>
      <c r="P28" s="26"/>
      <c r="Q28" s="7">
        <f t="shared" si="8"/>
        <v>7.3734421260967797E-2</v>
      </c>
      <c r="R28" s="7">
        <f t="shared" si="8"/>
        <v>9.707219474839426E-3</v>
      </c>
      <c r="T28" s="8">
        <f t="shared" ref="T28:T30" si="10">SUM(C28:O28)</f>
        <v>0.99999999999999967</v>
      </c>
    </row>
    <row r="29" spans="1:23" x14ac:dyDescent="0.3">
      <c r="A29" s="39"/>
      <c r="B29" s="3">
        <v>2040</v>
      </c>
      <c r="C29" s="23">
        <f t="shared" ref="C29:O29" si="11">C24/$T24</f>
        <v>0.28156055658619111</v>
      </c>
      <c r="D29" s="23">
        <f t="shared" si="11"/>
        <v>1.9991702368694284E-2</v>
      </c>
      <c r="E29" s="23">
        <f t="shared" si="11"/>
        <v>9.8976123888364617E-2</v>
      </c>
      <c r="F29" s="23">
        <f t="shared" si="11"/>
        <v>0.13281584202685767</v>
      </c>
      <c r="G29" s="23">
        <f t="shared" si="11"/>
        <v>5.0774624725651502E-2</v>
      </c>
      <c r="H29" s="23">
        <f t="shared" si="11"/>
        <v>0.22893723680278938</v>
      </c>
      <c r="I29" s="23">
        <f t="shared" si="11"/>
        <v>1.128563843394032E-2</v>
      </c>
      <c r="J29" s="23">
        <f t="shared" si="11"/>
        <v>0.1329233242976571</v>
      </c>
      <c r="K29" s="23">
        <f t="shared" si="11"/>
        <v>3.3104539406224941E-3</v>
      </c>
      <c r="L29" s="23">
        <f t="shared" si="11"/>
        <v>4.4820106923362992E-3</v>
      </c>
      <c r="M29" s="23">
        <f t="shared" si="11"/>
        <v>0</v>
      </c>
      <c r="N29" s="23">
        <f t="shared" si="11"/>
        <v>3.4877996874415562E-2</v>
      </c>
      <c r="O29" s="23">
        <f t="shared" si="11"/>
        <v>6.4489362479658972E-5</v>
      </c>
      <c r="P29" s="26"/>
      <c r="Q29" s="7">
        <f t="shared" si="8"/>
        <v>8.5652621600067064E-2</v>
      </c>
      <c r="R29" s="7">
        <f t="shared" si="8"/>
        <v>7.7924646329587928E-3</v>
      </c>
      <c r="T29" s="8">
        <f t="shared" si="10"/>
        <v>1</v>
      </c>
    </row>
    <row r="30" spans="1:23" x14ac:dyDescent="0.3">
      <c r="A30" s="39"/>
      <c r="B30" s="3">
        <v>2050</v>
      </c>
      <c r="C30" s="23">
        <f t="shared" ref="C30:O30" si="12">C25/$T25</f>
        <v>0.25342767951588813</v>
      </c>
      <c r="D30" s="23">
        <f t="shared" si="12"/>
        <v>0</v>
      </c>
      <c r="E30" s="23">
        <f t="shared" si="12"/>
        <v>0.10526811311942373</v>
      </c>
      <c r="F30" s="23">
        <f t="shared" si="12"/>
        <v>0.13646105820086285</v>
      </c>
      <c r="G30" s="23">
        <f t="shared" si="12"/>
        <v>4.3604034019269218E-2</v>
      </c>
      <c r="H30" s="23">
        <f t="shared" si="12"/>
        <v>0.28060174305372232</v>
      </c>
      <c r="I30" s="23">
        <f t="shared" si="12"/>
        <v>0</v>
      </c>
      <c r="J30" s="23">
        <f t="shared" si="12"/>
        <v>0.14583906382397407</v>
      </c>
      <c r="K30" s="23">
        <f t="shared" si="12"/>
        <v>2.3537317262729996E-3</v>
      </c>
      <c r="L30" s="23">
        <f t="shared" si="12"/>
        <v>2.4368046107296937E-3</v>
      </c>
      <c r="M30" s="23">
        <f t="shared" si="12"/>
        <v>0</v>
      </c>
      <c r="N30" s="23">
        <f t="shared" si="12"/>
        <v>2.9952390006885817E-2</v>
      </c>
      <c r="O30" s="23">
        <f t="shared" si="12"/>
        <v>5.5381922971129399E-5</v>
      </c>
      <c r="P30" s="26"/>
      <c r="Q30" s="7">
        <f t="shared" si="8"/>
        <v>7.3556424026155032E-2</v>
      </c>
      <c r="R30" s="7">
        <f t="shared" si="8"/>
        <v>4.7905363370026929E-3</v>
      </c>
      <c r="T30" s="8">
        <f t="shared" si="10"/>
        <v>0.99999999999999989</v>
      </c>
    </row>
    <row r="31" spans="1:23" x14ac:dyDescent="0.3">
      <c r="A31" s="39"/>
    </row>
    <row r="32" spans="1:23" s="9" customFormat="1" ht="21" x14ac:dyDescent="0.4">
      <c r="A32" s="86"/>
      <c r="B32" s="10" t="s">
        <v>53</v>
      </c>
    </row>
    <row r="33" spans="1:37" ht="28.8" x14ac:dyDescent="0.3">
      <c r="A33" s="39"/>
      <c r="B33" s="43" t="s">
        <v>34</v>
      </c>
      <c r="C33" s="43" t="s">
        <v>0</v>
      </c>
      <c r="D33" s="43" t="s">
        <v>1</v>
      </c>
      <c r="E33" s="43" t="s">
        <v>28</v>
      </c>
      <c r="F33" s="2" t="s">
        <v>29</v>
      </c>
      <c r="G33" s="2" t="s">
        <v>6</v>
      </c>
      <c r="H33" s="43" t="s">
        <v>2</v>
      </c>
      <c r="I33" s="43" t="s">
        <v>3</v>
      </c>
      <c r="J33" s="43" t="s">
        <v>4</v>
      </c>
      <c r="K33" s="43" t="s">
        <v>9</v>
      </c>
      <c r="L33" s="43" t="s">
        <v>8</v>
      </c>
      <c r="M33" s="43" t="s">
        <v>25</v>
      </c>
      <c r="N33" s="43" t="s">
        <v>7</v>
      </c>
      <c r="O33" s="43" t="s">
        <v>89</v>
      </c>
      <c r="P33" s="25"/>
      <c r="Q33" s="43" t="s">
        <v>5</v>
      </c>
      <c r="R33" s="43" t="s">
        <v>91</v>
      </c>
      <c r="T33" s="43" t="s">
        <v>10</v>
      </c>
      <c r="X33" s="39"/>
      <c r="Y33" s="39"/>
      <c r="Z33" s="39"/>
    </row>
    <row r="34" spans="1:37" x14ac:dyDescent="0.3">
      <c r="A34" s="39"/>
      <c r="B34" s="3">
        <v>2016</v>
      </c>
      <c r="C34" s="50">
        <f>'HC-BC'!C34</f>
        <v>194808.80434990322</v>
      </c>
      <c r="D34" s="50">
        <f>'HC-BC'!D34</f>
        <v>14743.87884401034</v>
      </c>
      <c r="E34" s="50">
        <f>'HC-BC'!E34</f>
        <v>756.07675598824017</v>
      </c>
      <c r="F34" s="50">
        <f>'HC-BC'!F34</f>
        <v>2024.3136712665919</v>
      </c>
      <c r="G34" s="50">
        <f>'HC-BC'!G34</f>
        <v>15799.124268819065</v>
      </c>
      <c r="H34" s="50">
        <f>'HC-BC'!H34</f>
        <v>4022.2162852660199</v>
      </c>
      <c r="I34" s="50">
        <f>'HC-BC'!I34</f>
        <v>827.66992563012559</v>
      </c>
      <c r="J34" s="50">
        <f>'HC-BC'!J34</f>
        <v>2639.0862346009021</v>
      </c>
      <c r="K34" s="50">
        <f>'HC-BC'!K34</f>
        <v>0</v>
      </c>
      <c r="L34" s="50">
        <f>'HC-BC'!L34</f>
        <v>1583.7347303540462</v>
      </c>
      <c r="M34" s="50">
        <f>'HC-BC'!M34</f>
        <v>0</v>
      </c>
      <c r="N34" s="50">
        <f>'HC-BC'!N34</f>
        <v>2994.3929759978951</v>
      </c>
      <c r="O34" s="50">
        <f>'HC-BC'!P34</f>
        <v>0</v>
      </c>
      <c r="P34" s="56"/>
      <c r="Q34" s="39">
        <f>G34+N34</f>
        <v>18793.517244816961</v>
      </c>
      <c r="R34" s="5">
        <f>SUM(K34:L34)</f>
        <v>1583.7347303540462</v>
      </c>
      <c r="T34" s="5">
        <f>SUM(C34:O34)</f>
        <v>240199.29804183645</v>
      </c>
      <c r="X34" s="39"/>
      <c r="Y34" s="39"/>
      <c r="Z34" s="39"/>
      <c r="AA34" s="39"/>
      <c r="AB34" s="39"/>
    </row>
    <row r="35" spans="1:37" x14ac:dyDescent="0.3">
      <c r="A35" s="39"/>
      <c r="B35" s="3">
        <v>2030</v>
      </c>
      <c r="C35" s="44">
        <f>Y35*(Inputs_Summary!$L73/$Y53)</f>
        <v>135132.54481675875</v>
      </c>
      <c r="D35" s="102">
        <f>Z35*(Inputs_Summary!$L73/$Y53)</f>
        <v>14610.136708446571</v>
      </c>
      <c r="E35" s="102">
        <f>AA35*(Inputs_Summary!$L73/$Y53)</f>
        <v>2228.6476338980565</v>
      </c>
      <c r="F35" s="102">
        <f>AB35*(Inputs_Summary!$L73/$Y53)</f>
        <v>212.15501503468911</v>
      </c>
      <c r="G35" s="102">
        <f>AC35*(Inputs_Summary!$L73/$Y53)</f>
        <v>12827.218601328126</v>
      </c>
      <c r="H35" s="102">
        <f>AD35*(Inputs_Summary!$L73/$Y53)</f>
        <v>4187.0016188336485</v>
      </c>
      <c r="I35" s="102">
        <f>AE35*(Inputs_Summary!$L73/$Y53)</f>
        <v>839.44027583437082</v>
      </c>
      <c r="J35" s="102">
        <f>AF35*(Inputs_Summary!$L73/$Y53)</f>
        <v>2623.3783589866366</v>
      </c>
      <c r="K35" s="102">
        <f>AG35*(Inputs_Summary!$L73/$Y53)</f>
        <v>0</v>
      </c>
      <c r="L35" s="102">
        <f>AH35*(Inputs_Summary!$L73/$Y53)</f>
        <v>1592.182588793989</v>
      </c>
      <c r="M35" s="102">
        <f>AI35*(Inputs_Summary!$L73/$Y53)</f>
        <v>0</v>
      </c>
      <c r="N35" s="102">
        <f>AJ35*(Inputs_Summary!$L73/$Y53)</f>
        <v>2460.1821935753374</v>
      </c>
      <c r="O35" s="102">
        <f>AK35*(Inputs_Summary!$L73/$Y53)</f>
        <v>0</v>
      </c>
      <c r="P35" s="56"/>
      <c r="Q35" s="39">
        <f>G35+N35</f>
        <v>15287.400794903464</v>
      </c>
      <c r="R35" s="5">
        <f>SUM(K35:L35)</f>
        <v>1592.182588793989</v>
      </c>
      <c r="T35" s="5">
        <f t="shared" ref="T35:T37" si="13">SUM(C35:O35)</f>
        <v>176712.88781149016</v>
      </c>
      <c r="Y35" s="39">
        <v>132486</v>
      </c>
      <c r="Z35" s="39">
        <v>14324</v>
      </c>
      <c r="AA35" s="39">
        <v>2185</v>
      </c>
      <c r="AB35" s="39">
        <v>208</v>
      </c>
      <c r="AC35" s="39">
        <v>12576</v>
      </c>
      <c r="AD35" s="39">
        <v>4105</v>
      </c>
      <c r="AE35" s="3">
        <v>823</v>
      </c>
      <c r="AF35" s="39">
        <v>2572</v>
      </c>
      <c r="AG35" s="3">
        <v>0</v>
      </c>
      <c r="AH35" s="39">
        <v>1561</v>
      </c>
      <c r="AI35" s="3">
        <v>0</v>
      </c>
      <c r="AJ35" s="39">
        <v>2412</v>
      </c>
    </row>
    <row r="36" spans="1:37" x14ac:dyDescent="0.3">
      <c r="A36" s="39"/>
      <c r="B36" s="3">
        <v>2040</v>
      </c>
      <c r="C36" s="102">
        <f>Y36*(Inputs_Summary!$L74/$Y54)</f>
        <v>42180.822668555753</v>
      </c>
      <c r="D36" s="102">
        <f>Z36*(Inputs_Summary!$L74/$Y54)</f>
        <v>14677.223067971581</v>
      </c>
      <c r="E36" s="102">
        <f>AA36*(Inputs_Summary!$L74/$Y54)</f>
        <v>2249.5367548584563</v>
      </c>
      <c r="F36" s="102">
        <f>AB36*(Inputs_Summary!$L74/$Y54)</f>
        <v>84.357628307192115</v>
      </c>
      <c r="G36" s="102">
        <f>AC36*(Inputs_Summary!$L74/$Y54)</f>
        <v>12914.751190839175</v>
      </c>
      <c r="H36" s="102">
        <f>AD36*(Inputs_Summary!$L74/$Y54)</f>
        <v>0</v>
      </c>
      <c r="I36" s="102">
        <f>AE36*(Inputs_Summary!$L74/$Y54)</f>
        <v>844.58054055176876</v>
      </c>
      <c r="J36" s="102">
        <f>AF36*(Inputs_Summary!$L74/$Y54)</f>
        <v>776.29103192213699</v>
      </c>
      <c r="K36" s="102">
        <f>AG36*(Inputs_Summary!$L74/$Y54)</f>
        <v>0</v>
      </c>
      <c r="L36" s="102">
        <f>AH36*(Inputs_Summary!$L74/$Y54)</f>
        <v>1618.8630575142106</v>
      </c>
      <c r="M36" s="102">
        <f>AI36*(Inputs_Summary!$L74/$Y54)</f>
        <v>0</v>
      </c>
      <c r="N36" s="102">
        <f>AJ36*(Inputs_Summary!$L74/$Y54)</f>
        <v>2447.3754783884192</v>
      </c>
      <c r="O36" s="102">
        <f>AK36*(Inputs_Summary!$L74/$Y54)</f>
        <v>0</v>
      </c>
      <c r="P36" s="56"/>
      <c r="Q36" s="39">
        <f>G36+N36</f>
        <v>15362.126669227595</v>
      </c>
      <c r="R36" s="5">
        <f>SUM(K36:L36)</f>
        <v>1618.8630575142106</v>
      </c>
      <c r="T36" s="5">
        <f t="shared" si="13"/>
        <v>77793.801418908712</v>
      </c>
      <c r="Y36" s="39">
        <v>42002</v>
      </c>
      <c r="Z36" s="39">
        <v>14615</v>
      </c>
      <c r="AA36" s="39">
        <v>2240</v>
      </c>
      <c r="AB36" s="39">
        <v>84</v>
      </c>
      <c r="AC36" s="39">
        <v>12860</v>
      </c>
      <c r="AD36" s="39">
        <v>0</v>
      </c>
      <c r="AE36" s="3">
        <v>841</v>
      </c>
      <c r="AF36" s="3">
        <v>773</v>
      </c>
      <c r="AG36" s="3">
        <v>0</v>
      </c>
      <c r="AH36" s="39">
        <v>1612</v>
      </c>
      <c r="AI36" s="3">
        <v>0</v>
      </c>
      <c r="AJ36" s="39">
        <v>2437</v>
      </c>
    </row>
    <row r="37" spans="1:37" x14ac:dyDescent="0.3">
      <c r="A37" s="39"/>
      <c r="B37" s="3">
        <v>2050</v>
      </c>
      <c r="C37" s="102">
        <f>Y37*(Inputs_Summary!$L75/$Y55)</f>
        <v>0</v>
      </c>
      <c r="D37" s="102">
        <f>Z37*(Inputs_Summary!$L75/$Y55)</f>
        <v>0</v>
      </c>
      <c r="E37" s="102">
        <f>AA37*(Inputs_Summary!$L75/$Y55)</f>
        <v>2210.3500908969427</v>
      </c>
      <c r="F37" s="102">
        <f>AB37*(Inputs_Summary!$L75/$Y55)</f>
        <v>0</v>
      </c>
      <c r="G37" s="102">
        <f>AC37*(Inputs_Summary!$L75/$Y55)</f>
        <v>12907.956055679937</v>
      </c>
      <c r="H37" s="102">
        <f>AD37*(Inputs_Summary!$L75/$Y55)</f>
        <v>0</v>
      </c>
      <c r="I37" s="102">
        <f>AE37*(Inputs_Summary!$L75/$Y55)</f>
        <v>0</v>
      </c>
      <c r="J37" s="102">
        <f>AF37*(Inputs_Summary!$L75/$Y55)</f>
        <v>0</v>
      </c>
      <c r="K37" s="102">
        <f>AG37*(Inputs_Summary!$L75/$Y55)</f>
        <v>0</v>
      </c>
      <c r="L37" s="102">
        <f>AH37*(Inputs_Summary!$L75/$Y55)</f>
        <v>1604.8444260333695</v>
      </c>
      <c r="M37" s="102">
        <f>AI37*(Inputs_Summary!$L75/$Y55)</f>
        <v>0</v>
      </c>
      <c r="N37" s="102">
        <f>AJ37*(Inputs_Summary!$L75/$Y55)</f>
        <v>2461.7112660587959</v>
      </c>
      <c r="O37" s="102">
        <f>AK37*(Inputs_Summary!$L75/$Y55)</f>
        <v>0</v>
      </c>
      <c r="P37" s="56"/>
      <c r="Q37" s="39">
        <f>G37+N37</f>
        <v>15369.667321738732</v>
      </c>
      <c r="R37" s="5">
        <f>SUM(K37:L37)</f>
        <v>1604.8444260333695</v>
      </c>
      <c r="T37" s="5">
        <f t="shared" si="13"/>
        <v>19184.861838669047</v>
      </c>
      <c r="Y37" s="39">
        <v>0</v>
      </c>
      <c r="Z37" s="39">
        <v>0</v>
      </c>
      <c r="AA37" s="39">
        <v>2172</v>
      </c>
      <c r="AB37" s="3">
        <v>0</v>
      </c>
      <c r="AC37" s="39">
        <v>12684</v>
      </c>
      <c r="AD37" s="39">
        <v>0</v>
      </c>
      <c r="AE37" s="3">
        <v>0</v>
      </c>
      <c r="AF37" s="3">
        <v>0</v>
      </c>
      <c r="AG37" s="3">
        <v>0</v>
      </c>
      <c r="AH37" s="39">
        <v>1577</v>
      </c>
      <c r="AI37" s="3">
        <v>0</v>
      </c>
      <c r="AJ37" s="39">
        <v>2419</v>
      </c>
    </row>
    <row r="38" spans="1:37" x14ac:dyDescent="0.3">
      <c r="A38" s="39"/>
      <c r="Q38" s="5"/>
      <c r="R38" s="5"/>
      <c r="S38" s="5"/>
      <c r="X38" s="39"/>
      <c r="Y38" s="39"/>
      <c r="Z38" s="39"/>
      <c r="AA38" s="39"/>
      <c r="AB38" s="39"/>
    </row>
    <row r="39" spans="1:37" ht="28.8" x14ac:dyDescent="0.3">
      <c r="A39" s="39"/>
      <c r="B39" s="43" t="s">
        <v>35</v>
      </c>
      <c r="C39" s="43" t="s">
        <v>0</v>
      </c>
      <c r="D39" s="43" t="s">
        <v>1</v>
      </c>
      <c r="E39" s="43" t="s">
        <v>28</v>
      </c>
      <c r="F39" s="2" t="s">
        <v>29</v>
      </c>
      <c r="G39" s="2" t="s">
        <v>6</v>
      </c>
      <c r="H39" s="43" t="s">
        <v>2</v>
      </c>
      <c r="I39" s="43" t="s">
        <v>3</v>
      </c>
      <c r="J39" s="43" t="s">
        <v>4</v>
      </c>
      <c r="K39" s="43" t="s">
        <v>9</v>
      </c>
      <c r="L39" s="43" t="s">
        <v>8</v>
      </c>
      <c r="M39" s="43" t="s">
        <v>25</v>
      </c>
      <c r="N39" s="43" t="s">
        <v>7</v>
      </c>
      <c r="O39" s="43" t="s">
        <v>89</v>
      </c>
      <c r="P39" s="25"/>
      <c r="Q39" s="43" t="s">
        <v>5</v>
      </c>
      <c r="R39" s="43" t="s">
        <v>91</v>
      </c>
      <c r="T39" s="43" t="s">
        <v>10</v>
      </c>
      <c r="X39" s="39"/>
      <c r="Y39" s="39"/>
      <c r="Z39" s="39"/>
    </row>
    <row r="40" spans="1:37" x14ac:dyDescent="0.3">
      <c r="A40" s="39"/>
      <c r="B40" s="3">
        <v>2016</v>
      </c>
      <c r="C40" s="50">
        <f>'HC-BC'!C40</f>
        <v>5136.7169876182643</v>
      </c>
      <c r="D40" s="50">
        <f>'HC-BC'!D40</f>
        <v>0</v>
      </c>
      <c r="E40" s="50">
        <f>'HC-BC'!E40</f>
        <v>0</v>
      </c>
      <c r="F40" s="50">
        <f>'HC-BC'!F40</f>
        <v>0</v>
      </c>
      <c r="G40" s="50">
        <f>'HC-BC'!G40</f>
        <v>0</v>
      </c>
      <c r="H40" s="50">
        <f>'HC-BC'!H40</f>
        <v>474.28890346943319</v>
      </c>
      <c r="I40" s="50">
        <f>'HC-BC'!I40</f>
        <v>83.723084328086344</v>
      </c>
      <c r="J40" s="50">
        <f>'HC-BC'!J40</f>
        <v>0</v>
      </c>
      <c r="K40" s="50">
        <f>'HC-BC'!K40</f>
        <v>0</v>
      </c>
      <c r="L40" s="50">
        <f>'HC-BC'!L40</f>
        <v>38.501168859598259</v>
      </c>
      <c r="M40" s="50">
        <f>'HC-BC'!M40</f>
        <v>0</v>
      </c>
      <c r="N40" s="50">
        <f>'HC-BC'!N40</f>
        <v>0</v>
      </c>
      <c r="O40" s="50">
        <f>'HC-BC'!P40</f>
        <v>0</v>
      </c>
      <c r="P40" s="56"/>
      <c r="Q40" s="39">
        <f>G40+N40</f>
        <v>0</v>
      </c>
      <c r="R40" s="5">
        <f>SUM(K40:L40)</f>
        <v>38.501168859598259</v>
      </c>
      <c r="T40" s="5">
        <f>SUM(C40:O40)</f>
        <v>5733.2301442753833</v>
      </c>
      <c r="X40" s="39"/>
      <c r="Y40" s="39"/>
      <c r="Z40" s="39"/>
      <c r="AA40" s="39"/>
      <c r="AB40" s="39"/>
    </row>
    <row r="41" spans="1:37" x14ac:dyDescent="0.3">
      <c r="A41" s="39"/>
      <c r="B41" s="3">
        <v>2030</v>
      </c>
      <c r="C41" s="44">
        <f>Y41*(Inputs_Summary!$L73/$Y53)</f>
        <v>68834.102618418416</v>
      </c>
      <c r="D41" s="102">
        <f>Z41*(Inputs_Summary!$L73/$Y53)</f>
        <v>0</v>
      </c>
      <c r="E41" s="102">
        <f>AA41*(Inputs_Summary!$L73/$Y53)</f>
        <v>0</v>
      </c>
      <c r="F41" s="102">
        <f>AB41*(Inputs_Summary!$L73/$Y53)</f>
        <v>0</v>
      </c>
      <c r="G41" s="102">
        <f>AC41*(Inputs_Summary!$L73/$Y53)</f>
        <v>201.95525469648291</v>
      </c>
      <c r="H41" s="102">
        <f>AD41*(Inputs_Summary!$L73/$Y53)</f>
        <v>8977.8290496891041</v>
      </c>
      <c r="I41" s="102">
        <f>AE41*(Inputs_Summary!$L73/$Y53)</f>
        <v>4213.5209957129846</v>
      </c>
      <c r="J41" s="102">
        <f>AF41*(Inputs_Summary!$L73/$Y53)</f>
        <v>2363.2844703623782</v>
      </c>
      <c r="K41" s="102">
        <f>AG41*(Inputs_Summary!$L73/$Y53)</f>
        <v>353.93168373575537</v>
      </c>
      <c r="L41" s="102">
        <f>AH41*(Inputs_Summary!$L73/$Y53)</f>
        <v>1026.0958900235444</v>
      </c>
      <c r="M41" s="102">
        <f>AI41*(Inputs_Summary!$L73/$Y53)</f>
        <v>0</v>
      </c>
      <c r="N41" s="102">
        <f>AJ41*(Inputs_Summary!$L73/$Y53)</f>
        <v>3052.7882692251178</v>
      </c>
      <c r="O41" s="102">
        <f>AK41*(Inputs_Summary!$L73/$Y53)</f>
        <v>0</v>
      </c>
      <c r="P41" s="56"/>
      <c r="Q41" s="39">
        <f>G41+N41</f>
        <v>3254.7435239216006</v>
      </c>
      <c r="R41" s="5">
        <f>SUM(K41:L41)</f>
        <v>1380.0275737592997</v>
      </c>
      <c r="T41" s="5">
        <f t="shared" ref="T41:T43" si="14">SUM(C41:O41)</f>
        <v>89023.508231863787</v>
      </c>
      <c r="Y41" s="39">
        <v>67486</v>
      </c>
      <c r="Z41" s="39">
        <v>0</v>
      </c>
      <c r="AA41" s="39">
        <v>0</v>
      </c>
      <c r="AB41" s="39">
        <v>0</v>
      </c>
      <c r="AC41" s="39">
        <v>198</v>
      </c>
      <c r="AD41" s="39">
        <v>8802</v>
      </c>
      <c r="AE41" s="39">
        <v>4131</v>
      </c>
      <c r="AF41" s="39">
        <v>2317</v>
      </c>
      <c r="AG41" s="3">
        <v>347</v>
      </c>
      <c r="AH41" s="39">
        <v>1006</v>
      </c>
      <c r="AI41" s="3">
        <v>0</v>
      </c>
      <c r="AJ41" s="39">
        <v>2993</v>
      </c>
    </row>
    <row r="42" spans="1:37" x14ac:dyDescent="0.3">
      <c r="A42" s="39"/>
      <c r="B42" s="3">
        <v>2040</v>
      </c>
      <c r="C42" s="102">
        <f>Y42*(Inputs_Summary!$L74/$Y54)</f>
        <v>70798.14381429083</v>
      </c>
      <c r="D42" s="102">
        <f>Z42*(Inputs_Summary!$L74/$Y54)</f>
        <v>0</v>
      </c>
      <c r="E42" s="102">
        <f>AA42*(Inputs_Summary!$L74/$Y54)</f>
        <v>0</v>
      </c>
      <c r="F42" s="102">
        <f>AB42*(Inputs_Summary!$L74/$Y54)</f>
        <v>0</v>
      </c>
      <c r="G42" s="102">
        <f>AC42*(Inputs_Summary!$L74/$Y54)</f>
        <v>198.84298100980999</v>
      </c>
      <c r="H42" s="102">
        <f>AD42*(Inputs_Summary!$L74/$Y54)</f>
        <v>0</v>
      </c>
      <c r="I42" s="102">
        <f>AE42*(Inputs_Summary!$L74/$Y54)</f>
        <v>4223.9069602386908</v>
      </c>
      <c r="J42" s="102">
        <f>AF42*(Inputs_Summary!$L74/$Y54)</f>
        <v>2377.0774547990923</v>
      </c>
      <c r="K42" s="102">
        <f>AG42*(Inputs_Summary!$L74/$Y54)</f>
        <v>357.51566282571901</v>
      </c>
      <c r="L42" s="102">
        <f>AH42*(Inputs_Summary!$L74/$Y54)</f>
        <v>1030.3681743235609</v>
      </c>
      <c r="M42" s="102">
        <f>AI42*(Inputs_Summary!$L74/$Y54)</f>
        <v>0</v>
      </c>
      <c r="N42" s="102">
        <f>AJ42*(Inputs_Summary!$L74/$Y54)</f>
        <v>2961.5553080703521</v>
      </c>
      <c r="O42" s="102">
        <f>AK42*(Inputs_Summary!$L74/$Y54)</f>
        <v>0</v>
      </c>
      <c r="P42" s="56"/>
      <c r="Q42" s="39">
        <f>G42+N42</f>
        <v>3160.3982890801622</v>
      </c>
      <c r="R42" s="5">
        <f>SUM(K42:L42)</f>
        <v>1387.8838371492798</v>
      </c>
      <c r="T42" s="5">
        <f t="shared" si="14"/>
        <v>81947.410355558066</v>
      </c>
      <c r="Y42" s="39">
        <v>70498</v>
      </c>
      <c r="Z42" s="39">
        <v>0</v>
      </c>
      <c r="AA42" s="3">
        <v>0</v>
      </c>
      <c r="AB42" s="39">
        <v>0</v>
      </c>
      <c r="AC42" s="39">
        <v>198</v>
      </c>
      <c r="AD42" s="39">
        <v>0</v>
      </c>
      <c r="AE42" s="39">
        <v>4206</v>
      </c>
      <c r="AF42" s="39">
        <v>2367</v>
      </c>
      <c r="AG42" s="3">
        <v>356</v>
      </c>
      <c r="AH42" s="39">
        <v>1026</v>
      </c>
      <c r="AI42" s="3">
        <v>0</v>
      </c>
      <c r="AJ42" s="39">
        <v>2949</v>
      </c>
    </row>
    <row r="43" spans="1:37" x14ac:dyDescent="0.3">
      <c r="A43" s="39"/>
      <c r="B43" s="3">
        <v>2050</v>
      </c>
      <c r="C43" s="102">
        <f>Y43*(Inputs_Summary!$L75/$Y55)</f>
        <v>70500.194865132362</v>
      </c>
      <c r="D43" s="102">
        <f>Z43*(Inputs_Summary!$L75/$Y55)</f>
        <v>0</v>
      </c>
      <c r="E43" s="102">
        <f>AA43*(Inputs_Summary!$L75/$Y55)</f>
        <v>0</v>
      </c>
      <c r="F43" s="102">
        <f>AB43*(Inputs_Summary!$L75/$Y55)</f>
        <v>0</v>
      </c>
      <c r="G43" s="102">
        <f>AC43*(Inputs_Summary!$L75/$Y55)</f>
        <v>196.40771986331029</v>
      </c>
      <c r="H43" s="102">
        <f>AD43*(Inputs_Summary!$L75/$Y55)</f>
        <v>0</v>
      </c>
      <c r="I43" s="102">
        <f>AE43*(Inputs_Summary!$L75/$Y55)</f>
        <v>0</v>
      </c>
      <c r="J43" s="102">
        <f>AF43*(Inputs_Summary!$L75/$Y55)</f>
        <v>0</v>
      </c>
      <c r="K43" s="102">
        <f>AG43*(Inputs_Summary!$L75/$Y55)</f>
        <v>0</v>
      </c>
      <c r="L43" s="102">
        <f>AH43*(Inputs_Summary!$L75/$Y55)</f>
        <v>0</v>
      </c>
      <c r="M43" s="102">
        <f>AI43*(Inputs_Summary!$L75/$Y55)</f>
        <v>0</v>
      </c>
      <c r="N43" s="102">
        <f>AJ43*(Inputs_Summary!$L75/$Y55)</f>
        <v>2872.8445242182638</v>
      </c>
      <c r="O43" s="102">
        <f>AK43*(Inputs_Summary!$L75/$Y55)</f>
        <v>0</v>
      </c>
      <c r="P43" s="56"/>
      <c r="Q43" s="39">
        <f>G43+N43</f>
        <v>3069.2522440815742</v>
      </c>
      <c r="R43" s="5">
        <f>SUM(K43:L43)</f>
        <v>0</v>
      </c>
      <c r="T43" s="5">
        <f t="shared" si="14"/>
        <v>73569.447109213943</v>
      </c>
      <c r="X43" s="39"/>
      <c r="Y43" s="39">
        <v>69277</v>
      </c>
      <c r="Z43" s="39">
        <v>0</v>
      </c>
      <c r="AA43" s="3">
        <v>0</v>
      </c>
      <c r="AB43" s="3">
        <v>0</v>
      </c>
      <c r="AC43" s="39">
        <v>193</v>
      </c>
      <c r="AD43" s="39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9">
        <v>2823</v>
      </c>
    </row>
    <row r="44" spans="1:37" x14ac:dyDescent="0.3">
      <c r="A44" s="39"/>
      <c r="Q44" s="5"/>
      <c r="R44" s="5"/>
      <c r="S44" s="5"/>
      <c r="X44" s="39"/>
      <c r="Y44" s="39"/>
      <c r="Z44" s="39"/>
      <c r="AA44" s="39"/>
      <c r="AB44" s="39"/>
    </row>
    <row r="45" spans="1:37" ht="28.8" x14ac:dyDescent="0.3">
      <c r="A45" s="39"/>
      <c r="B45" s="43" t="s">
        <v>36</v>
      </c>
      <c r="C45" s="43" t="s">
        <v>0</v>
      </c>
      <c r="D45" s="43" t="s">
        <v>1</v>
      </c>
      <c r="E45" s="43" t="s">
        <v>28</v>
      </c>
      <c r="F45" s="2" t="s">
        <v>29</v>
      </c>
      <c r="G45" s="2" t="s">
        <v>6</v>
      </c>
      <c r="H45" s="43" t="s">
        <v>2</v>
      </c>
      <c r="I45" s="43" t="s">
        <v>3</v>
      </c>
      <c r="J45" s="43" t="s">
        <v>4</v>
      </c>
      <c r="K45" s="43" t="s">
        <v>9</v>
      </c>
      <c r="L45" s="43" t="s">
        <v>8</v>
      </c>
      <c r="M45" s="43" t="s">
        <v>25</v>
      </c>
      <c r="N45" s="43" t="s">
        <v>7</v>
      </c>
      <c r="O45" s="43" t="s">
        <v>89</v>
      </c>
      <c r="P45" s="25"/>
      <c r="Q45" s="43" t="s">
        <v>5</v>
      </c>
      <c r="R45" s="43" t="s">
        <v>91</v>
      </c>
      <c r="T45" s="43" t="s">
        <v>10</v>
      </c>
      <c r="X45" s="39"/>
      <c r="Y45" s="39"/>
      <c r="Z45" s="39"/>
      <c r="AB45" s="39"/>
      <c r="AC45" s="39"/>
      <c r="AD45" s="39"/>
    </row>
    <row r="46" spans="1:37" x14ac:dyDescent="0.3">
      <c r="A46" s="39"/>
      <c r="B46" s="3">
        <v>2016</v>
      </c>
      <c r="C46" s="50">
        <f>'HC-BC'!C46</f>
        <v>0</v>
      </c>
      <c r="D46" s="50">
        <f>'HC-BC'!D46</f>
        <v>0</v>
      </c>
      <c r="E46" s="50">
        <f>'HC-BC'!E46</f>
        <v>0</v>
      </c>
      <c r="F46" s="50">
        <f>'HC-BC'!F46</f>
        <v>0</v>
      </c>
      <c r="G46" s="50">
        <f>'HC-BC'!G46</f>
        <v>0</v>
      </c>
      <c r="H46" s="50">
        <f>'HC-BC'!H46</f>
        <v>0</v>
      </c>
      <c r="I46" s="50">
        <f>'HC-BC'!I46</f>
        <v>0</v>
      </c>
      <c r="J46" s="50">
        <f>'HC-BC'!J46</f>
        <v>0</v>
      </c>
      <c r="K46" s="50">
        <f>'HC-BC'!K46</f>
        <v>0</v>
      </c>
      <c r="L46" s="50">
        <f>'HC-BC'!L46</f>
        <v>0</v>
      </c>
      <c r="M46" s="50">
        <f>'HC-BC'!M46</f>
        <v>0</v>
      </c>
      <c r="N46" s="50">
        <f>'HC-BC'!N46</f>
        <v>0</v>
      </c>
      <c r="O46" s="50">
        <f>'HC-BC'!P46</f>
        <v>0</v>
      </c>
      <c r="P46" s="56"/>
      <c r="Q46" s="39">
        <f>G46+N46</f>
        <v>0</v>
      </c>
      <c r="R46" s="5">
        <f>SUM(K46:L46)</f>
        <v>0</v>
      </c>
      <c r="T46" s="5">
        <f>SUM(C46:O46)</f>
        <v>0</v>
      </c>
      <c r="X46" s="39"/>
      <c r="Y46" s="39"/>
      <c r="Z46" s="39"/>
      <c r="AA46" s="39"/>
      <c r="AC46" s="39"/>
      <c r="AD46" s="39"/>
    </row>
    <row r="47" spans="1:37" x14ac:dyDescent="0.3">
      <c r="A47" s="39"/>
      <c r="B47" s="3">
        <v>2030</v>
      </c>
      <c r="C47" s="44">
        <f>Y47*(Inputs_Summary!$L73/$Y53)</f>
        <v>0</v>
      </c>
      <c r="D47" s="102">
        <f>Z47*(Inputs_Summary!$L73/$Y53)</f>
        <v>0</v>
      </c>
      <c r="E47" s="102">
        <f>AA47*(Inputs_Summary!$L73/$Y53)</f>
        <v>14803.932154872489</v>
      </c>
      <c r="F47" s="102">
        <f>AB47*(Inputs_Summary!$L73/$Y53)</f>
        <v>2416.3232241210503</v>
      </c>
      <c r="G47" s="102">
        <f>AC47*(Inputs_Summary!$L73/$Y53)</f>
        <v>0</v>
      </c>
      <c r="H47" s="102">
        <f>AD47*(Inputs_Summary!$L73/$Y53)</f>
        <v>22435.392839918375</v>
      </c>
      <c r="I47" s="102">
        <f>AE47*(Inputs_Summary!$L73/$Y53)</f>
        <v>0</v>
      </c>
      <c r="J47" s="102">
        <f>AF47*(Inputs_Summary!$L73/$Y53)</f>
        <v>7278.5489773439494</v>
      </c>
      <c r="K47" s="102">
        <f>AG47*(Inputs_Summary!$L73/$Y53)</f>
        <v>1855.3364055197092</v>
      </c>
      <c r="L47" s="102">
        <f>AH47*(Inputs_Summary!$L73/$Y53)</f>
        <v>0</v>
      </c>
      <c r="M47" s="102">
        <f>AI47*(Inputs_Summary!$L73/$Y53)</f>
        <v>0</v>
      </c>
      <c r="N47" s="102">
        <f>AJ47*(Inputs_Summary!$L73/$Y53)</f>
        <v>0</v>
      </c>
      <c r="O47" s="102">
        <f>AK47*(Inputs_Summary!$L73/$Y53)</f>
        <v>0</v>
      </c>
      <c r="P47" s="56"/>
      <c r="Q47" s="39">
        <f>G47+N47</f>
        <v>0</v>
      </c>
      <c r="R47" s="5">
        <f>SUM(K47:L47)</f>
        <v>1855.3364055197092</v>
      </c>
      <c r="T47" s="5">
        <f t="shared" ref="T47:T49" si="15">SUM(C47:O47)</f>
        <v>48789.533601775569</v>
      </c>
      <c r="Y47" s="39">
        <v>0</v>
      </c>
      <c r="Z47" s="39">
        <v>0</v>
      </c>
      <c r="AA47" s="39">
        <v>14514</v>
      </c>
      <c r="AB47" s="39">
        <v>2369</v>
      </c>
      <c r="AC47" s="3">
        <v>0</v>
      </c>
      <c r="AD47" s="39">
        <v>21996</v>
      </c>
      <c r="AE47" s="3">
        <v>0</v>
      </c>
      <c r="AF47" s="39">
        <v>7136</v>
      </c>
      <c r="AG47" s="39">
        <v>1819</v>
      </c>
      <c r="AH47" s="3">
        <v>0</v>
      </c>
      <c r="AI47" s="39">
        <v>0</v>
      </c>
      <c r="AJ47" s="3">
        <v>0</v>
      </c>
      <c r="AK47" s="39"/>
    </row>
    <row r="48" spans="1:37" x14ac:dyDescent="0.3">
      <c r="A48" s="39"/>
      <c r="B48" s="3">
        <v>2040</v>
      </c>
      <c r="C48" s="102">
        <f>Y48*(Inputs_Summary!$L74/$Y54)</f>
        <v>66996.024995588101</v>
      </c>
      <c r="D48" s="102">
        <f>Z48*(Inputs_Summary!$L74/$Y54)</f>
        <v>0</v>
      </c>
      <c r="E48" s="102">
        <f>AA48*(Inputs_Summary!$L74/$Y54)</f>
        <v>26926.151549671846</v>
      </c>
      <c r="F48" s="102">
        <f>AB48*(Inputs_Summary!$L74/$Y54)</f>
        <v>3124.2450198056508</v>
      </c>
      <c r="G48" s="102">
        <f>AC48*(Inputs_Summary!$L74/$Y54)</f>
        <v>15437.445980216158</v>
      </c>
      <c r="H48" s="102">
        <f>AD48*(Inputs_Summary!$L74/$Y54)</f>
        <v>65568.975116724774</v>
      </c>
      <c r="I48" s="102">
        <f>AE48*(Inputs_Summary!$L74/$Y54)</f>
        <v>0</v>
      </c>
      <c r="J48" s="102">
        <f>AF48*(Inputs_Summary!$L74/$Y54)</f>
        <v>18948.330129763104</v>
      </c>
      <c r="K48" s="102">
        <f>AG48*(Inputs_Summary!$L74/$Y54)</f>
        <v>1860.8891101574643</v>
      </c>
      <c r="L48" s="102">
        <f>AH48*(Inputs_Summary!$L74/$Y54)</f>
        <v>0</v>
      </c>
      <c r="M48" s="102">
        <f>AI48*(Inputs_Summary!$L74/$Y54)</f>
        <v>0</v>
      </c>
      <c r="N48" s="102">
        <f>AJ48*(Inputs_Summary!$L74/$Y54)</f>
        <v>0</v>
      </c>
      <c r="O48" s="102">
        <f>AK48*(Inputs_Summary!$L74/$Y54)</f>
        <v>0</v>
      </c>
      <c r="P48" s="56"/>
      <c r="Q48" s="39">
        <f>G48+N48</f>
        <v>15437.445980216158</v>
      </c>
      <c r="R48" s="5">
        <f>SUM(K48:L48)</f>
        <v>1860.8891101574643</v>
      </c>
      <c r="T48" s="5">
        <f t="shared" si="15"/>
        <v>198862.06190192711</v>
      </c>
      <c r="Y48" s="39">
        <v>66712</v>
      </c>
      <c r="Z48" s="39">
        <v>0</v>
      </c>
      <c r="AA48" s="39">
        <v>26812</v>
      </c>
      <c r="AB48" s="39">
        <v>3111</v>
      </c>
      <c r="AC48" s="39">
        <v>15372</v>
      </c>
      <c r="AD48" s="39">
        <v>65291</v>
      </c>
      <c r="AE48" s="3">
        <v>0</v>
      </c>
      <c r="AF48" s="39">
        <v>18868</v>
      </c>
      <c r="AG48" s="39">
        <v>1853</v>
      </c>
      <c r="AH48" s="3">
        <v>0</v>
      </c>
      <c r="AI48" s="39">
        <v>0</v>
      </c>
      <c r="AJ48" s="3">
        <v>0</v>
      </c>
      <c r="AK48" s="39"/>
    </row>
    <row r="49" spans="1:37" x14ac:dyDescent="0.3">
      <c r="A49" s="39"/>
      <c r="B49" s="3">
        <v>2050</v>
      </c>
      <c r="C49" s="102">
        <f>Y49*(Inputs_Summary!$L75/$Y55)</f>
        <v>124290.46869318932</v>
      </c>
      <c r="D49" s="102">
        <f>Z49*(Inputs_Summary!$L75/$Y55)</f>
        <v>0</v>
      </c>
      <c r="E49" s="102">
        <f>AA49*(Inputs_Summary!$L75/$Y55)</f>
        <v>30791.235129037199</v>
      </c>
      <c r="F49" s="102">
        <f>AB49*(Inputs_Summary!$L75/$Y55)</f>
        <v>3270.748246842898</v>
      </c>
      <c r="G49" s="102">
        <f>AC49*(Inputs_Summary!$L75/$Y55)</f>
        <v>15529.439404736348</v>
      </c>
      <c r="H49" s="102">
        <f>AD49*(Inputs_Summary!$L75/$Y55)</f>
        <v>92698.337836004837</v>
      </c>
      <c r="I49" s="102">
        <f>AE49*(Inputs_Summary!$L75/$Y55)</f>
        <v>0</v>
      </c>
      <c r="J49" s="102">
        <f>AF49*(Inputs_Summary!$L75/$Y55)</f>
        <v>28031.350485154828</v>
      </c>
      <c r="K49" s="102">
        <f>AG49*(Inputs_Summary!$L75/$Y55)</f>
        <v>1832.7994998643619</v>
      </c>
      <c r="L49" s="102">
        <f>AH49*(Inputs_Summary!$L75/$Y55)</f>
        <v>0</v>
      </c>
      <c r="M49" s="102">
        <f>AI49*(Inputs_Summary!$L75/$Y55)</f>
        <v>0</v>
      </c>
      <c r="N49" s="102">
        <f>AJ49*(Inputs_Summary!$L75/$Y55)</f>
        <v>0</v>
      </c>
      <c r="O49" s="102">
        <f>AK49*(Inputs_Summary!$L75/$Y55)</f>
        <v>0</v>
      </c>
      <c r="P49" s="56"/>
      <c r="Q49" s="39">
        <f>G49+N49</f>
        <v>15529.439404736348</v>
      </c>
      <c r="R49" s="5">
        <f>SUM(K49:L49)</f>
        <v>1832.7994998643619</v>
      </c>
      <c r="T49" s="5">
        <f t="shared" si="15"/>
        <v>296444.37929482979</v>
      </c>
      <c r="Y49" s="39">
        <v>122134</v>
      </c>
      <c r="Z49" s="39">
        <v>0</v>
      </c>
      <c r="AA49" s="39">
        <v>30257</v>
      </c>
      <c r="AB49" s="39">
        <v>3214</v>
      </c>
      <c r="AC49" s="39">
        <v>15260</v>
      </c>
      <c r="AD49" s="39">
        <v>91090</v>
      </c>
      <c r="AE49" s="3">
        <v>0</v>
      </c>
      <c r="AF49" s="39">
        <v>27545</v>
      </c>
      <c r="AG49" s="39">
        <v>1801</v>
      </c>
      <c r="AH49" s="3">
        <v>0</v>
      </c>
      <c r="AI49" s="39">
        <v>0</v>
      </c>
      <c r="AJ49" s="39">
        <v>0</v>
      </c>
      <c r="AK49" s="39"/>
    </row>
    <row r="50" spans="1:37" x14ac:dyDescent="0.3">
      <c r="A50" s="39"/>
    </row>
    <row r="51" spans="1:37" ht="28.8" x14ac:dyDescent="0.3">
      <c r="A51" s="39"/>
      <c r="B51" s="43" t="s">
        <v>13</v>
      </c>
      <c r="C51" s="43" t="s">
        <v>0</v>
      </c>
      <c r="D51" s="43" t="s">
        <v>1</v>
      </c>
      <c r="E51" s="43" t="s">
        <v>28</v>
      </c>
      <c r="F51" s="2" t="s">
        <v>29</v>
      </c>
      <c r="G51" s="2" t="s">
        <v>6</v>
      </c>
      <c r="H51" s="43" t="s">
        <v>2</v>
      </c>
      <c r="I51" s="43" t="s">
        <v>3</v>
      </c>
      <c r="J51" s="43" t="s">
        <v>4</v>
      </c>
      <c r="K51" s="43" t="s">
        <v>9</v>
      </c>
      <c r="L51" s="43" t="s">
        <v>8</v>
      </c>
      <c r="M51" s="43" t="s">
        <v>25</v>
      </c>
      <c r="N51" s="43" t="s">
        <v>7</v>
      </c>
      <c r="O51" s="43" t="s">
        <v>89</v>
      </c>
      <c r="P51" s="25"/>
      <c r="Q51" s="43" t="s">
        <v>5</v>
      </c>
      <c r="R51" s="43" t="s">
        <v>91</v>
      </c>
      <c r="T51" s="43" t="s">
        <v>10</v>
      </c>
      <c r="U51" s="43"/>
      <c r="V51" s="43"/>
      <c r="W51" s="43" t="s">
        <v>16</v>
      </c>
      <c r="X51" s="43" t="s">
        <v>15</v>
      </c>
    </row>
    <row r="52" spans="1:37" x14ac:dyDescent="0.3">
      <c r="A52" s="39">
        <f>C52-C46</f>
        <v>199945.5213375215</v>
      </c>
      <c r="B52" s="3">
        <v>2016</v>
      </c>
      <c r="C52" s="50">
        <f>C34+C40+C46</f>
        <v>199945.5213375215</v>
      </c>
      <c r="D52" s="50">
        <f t="shared" ref="D52:O55" si="16">D34+D40+D46</f>
        <v>14743.87884401034</v>
      </c>
      <c r="E52" s="50">
        <f t="shared" si="16"/>
        <v>756.07675598824017</v>
      </c>
      <c r="F52" s="50">
        <f t="shared" si="16"/>
        <v>2024.3136712665919</v>
      </c>
      <c r="G52" s="50">
        <f t="shared" si="16"/>
        <v>15799.124268819065</v>
      </c>
      <c r="H52" s="50">
        <f t="shared" si="16"/>
        <v>4496.505188735453</v>
      </c>
      <c r="I52" s="50">
        <f t="shared" si="16"/>
        <v>911.39300995821191</v>
      </c>
      <c r="J52" s="50">
        <f t="shared" si="16"/>
        <v>2639.0862346009021</v>
      </c>
      <c r="K52" s="50">
        <f t="shared" si="16"/>
        <v>0</v>
      </c>
      <c r="L52" s="50">
        <f t="shared" si="16"/>
        <v>1622.2358992136444</v>
      </c>
      <c r="M52" s="50">
        <f t="shared" si="16"/>
        <v>0</v>
      </c>
      <c r="N52" s="50">
        <f t="shared" si="16"/>
        <v>2994.3929759978951</v>
      </c>
      <c r="O52" s="50">
        <f t="shared" si="16"/>
        <v>0</v>
      </c>
      <c r="P52" s="56"/>
      <c r="Q52" s="39">
        <f>G52+N52</f>
        <v>18793.517244816961</v>
      </c>
      <c r="R52" s="5">
        <f>SUM(K52:L52)</f>
        <v>1622.2358992136444</v>
      </c>
      <c r="T52" s="5">
        <f>SUM(C52:O52)</f>
        <v>245932.52818611186</v>
      </c>
      <c r="W52" s="18">
        <f>SUM(G52:L52)</f>
        <v>25468.344601327273</v>
      </c>
      <c r="X52" s="23">
        <f>W52/T52</f>
        <v>0.10355825961360367</v>
      </c>
      <c r="Y52" s="39">
        <v>240333.53100000005</v>
      </c>
      <c r="Z52" s="39"/>
    </row>
    <row r="53" spans="1:37" x14ac:dyDescent="0.3">
      <c r="A53" s="39">
        <f t="shared" ref="A53:A55" si="17">C53-C47</f>
        <v>203966.64743517718</v>
      </c>
      <c r="B53" s="3">
        <v>2030</v>
      </c>
      <c r="C53" s="50">
        <f t="shared" ref="C53:N55" si="18">C35+C41+C47</f>
        <v>203966.64743517718</v>
      </c>
      <c r="D53" s="50">
        <f t="shared" si="18"/>
        <v>14610.136708446571</v>
      </c>
      <c r="E53" s="50">
        <f t="shared" si="18"/>
        <v>17032.579788770545</v>
      </c>
      <c r="F53" s="50">
        <f t="shared" si="18"/>
        <v>2628.4782391557396</v>
      </c>
      <c r="G53" s="50">
        <f t="shared" si="18"/>
        <v>13029.173856024609</v>
      </c>
      <c r="H53" s="50">
        <f t="shared" si="18"/>
        <v>35600.22350844113</v>
      </c>
      <c r="I53" s="50">
        <f t="shared" si="18"/>
        <v>5052.9612715473559</v>
      </c>
      <c r="J53" s="50">
        <f t="shared" si="18"/>
        <v>12265.211806692965</v>
      </c>
      <c r="K53" s="50">
        <f t="shared" si="18"/>
        <v>2209.2680892554645</v>
      </c>
      <c r="L53" s="50">
        <f t="shared" si="18"/>
        <v>2618.2784788175331</v>
      </c>
      <c r="M53" s="50">
        <f t="shared" si="18"/>
        <v>0</v>
      </c>
      <c r="N53" s="50">
        <f t="shared" si="18"/>
        <v>5512.9704628004547</v>
      </c>
      <c r="O53" s="50">
        <f t="shared" si="16"/>
        <v>0</v>
      </c>
      <c r="P53" s="56"/>
      <c r="Q53" s="39">
        <f>G53+N53</f>
        <v>18542.144318825063</v>
      </c>
      <c r="R53" s="5">
        <f>SUM(K53:L53)</f>
        <v>4827.5465680729976</v>
      </c>
      <c r="T53" s="5">
        <f t="shared" ref="T53:T55" si="19">SUM(C53:O53)</f>
        <v>314525.9296451296</v>
      </c>
      <c r="W53" s="18">
        <f>SUM(G53:L53)</f>
        <v>70775.117010779053</v>
      </c>
      <c r="X53" s="23">
        <f>W53/T53</f>
        <v>0.22502156528281325</v>
      </c>
      <c r="Y53" s="39">
        <v>301332.78340000001</v>
      </c>
      <c r="AA53" s="39"/>
    </row>
    <row r="54" spans="1:37" x14ac:dyDescent="0.3">
      <c r="A54" s="39">
        <f t="shared" si="17"/>
        <v>112978.9664828466</v>
      </c>
      <c r="B54" s="3">
        <v>2040</v>
      </c>
      <c r="C54" s="50">
        <f t="shared" si="18"/>
        <v>179974.99147843471</v>
      </c>
      <c r="D54" s="50">
        <f t="shared" si="18"/>
        <v>14677.223067971581</v>
      </c>
      <c r="E54" s="50">
        <f t="shared" si="18"/>
        <v>29175.688304530304</v>
      </c>
      <c r="F54" s="50">
        <f t="shared" si="18"/>
        <v>3208.6026481128429</v>
      </c>
      <c r="G54" s="50">
        <f t="shared" si="18"/>
        <v>28551.040152065143</v>
      </c>
      <c r="H54" s="50">
        <f t="shared" si="18"/>
        <v>65568.975116724774</v>
      </c>
      <c r="I54" s="50">
        <f t="shared" si="18"/>
        <v>5068.4875007904593</v>
      </c>
      <c r="J54" s="50">
        <f t="shared" si="18"/>
        <v>22101.698616484333</v>
      </c>
      <c r="K54" s="50">
        <f t="shared" si="18"/>
        <v>2218.4047729831832</v>
      </c>
      <c r="L54" s="50">
        <f t="shared" si="18"/>
        <v>2649.2312318377717</v>
      </c>
      <c r="M54" s="50">
        <f t="shared" si="18"/>
        <v>0</v>
      </c>
      <c r="N54" s="50">
        <f t="shared" si="18"/>
        <v>5408.9307864587718</v>
      </c>
      <c r="O54" s="50">
        <f t="shared" si="16"/>
        <v>0</v>
      </c>
      <c r="P54" s="56"/>
      <c r="Q54" s="39">
        <f>G54+N54</f>
        <v>33959.970938523911</v>
      </c>
      <c r="R54" s="5">
        <f>SUM(K54:L54)</f>
        <v>4867.6360048209553</v>
      </c>
      <c r="T54" s="5">
        <f t="shared" si="19"/>
        <v>358603.27367639384</v>
      </c>
      <c r="W54" s="18">
        <f>SUM(G54:L54)</f>
        <v>126157.83739088567</v>
      </c>
      <c r="X54" s="23">
        <f>W54/T54</f>
        <v>0.35180336224351205</v>
      </c>
      <c r="Y54" s="39">
        <v>350073.47259999998</v>
      </c>
      <c r="AB54" s="39"/>
      <c r="AD54" s="39"/>
    </row>
    <row r="55" spans="1:37" x14ac:dyDescent="0.3">
      <c r="A55" s="39">
        <f t="shared" si="17"/>
        <v>70500.194865132362</v>
      </c>
      <c r="B55" s="3">
        <v>2050</v>
      </c>
      <c r="C55" s="50">
        <f t="shared" si="18"/>
        <v>194790.66355832168</v>
      </c>
      <c r="D55" s="50">
        <f t="shared" si="18"/>
        <v>0</v>
      </c>
      <c r="E55" s="50">
        <f t="shared" si="18"/>
        <v>33001.585219934139</v>
      </c>
      <c r="F55" s="50">
        <f t="shared" si="18"/>
        <v>3270.748246842898</v>
      </c>
      <c r="G55" s="50">
        <f t="shared" si="18"/>
        <v>28633.803180279596</v>
      </c>
      <c r="H55" s="50">
        <f t="shared" si="18"/>
        <v>92698.337836004837</v>
      </c>
      <c r="I55" s="50">
        <f t="shared" si="18"/>
        <v>0</v>
      </c>
      <c r="J55" s="50">
        <f t="shared" si="18"/>
        <v>28031.350485154828</v>
      </c>
      <c r="K55" s="50">
        <f t="shared" si="18"/>
        <v>1832.7994998643619</v>
      </c>
      <c r="L55" s="50">
        <f t="shared" si="18"/>
        <v>1604.8444260333695</v>
      </c>
      <c r="M55" s="50">
        <f t="shared" si="18"/>
        <v>0</v>
      </c>
      <c r="N55" s="50">
        <f t="shared" si="18"/>
        <v>5334.5557902770597</v>
      </c>
      <c r="O55" s="50">
        <f t="shared" si="16"/>
        <v>0</v>
      </c>
      <c r="P55" s="56"/>
      <c r="Q55" s="39">
        <f>G55+N55</f>
        <v>33968.358970556656</v>
      </c>
      <c r="R55" s="5">
        <f>SUM(K55:L55)</f>
        <v>3437.6439258977316</v>
      </c>
      <c r="T55" s="5">
        <f t="shared" si="19"/>
        <v>389198.68824271281</v>
      </c>
      <c r="W55" s="18">
        <f>SUM(G55:L55)</f>
        <v>152801.13542733702</v>
      </c>
      <c r="X55" s="23">
        <f>W55/T55</f>
        <v>0.39260444611788337</v>
      </c>
      <c r="Y55" s="39">
        <v>375620.37099999998</v>
      </c>
    </row>
    <row r="57" spans="1:37" x14ac:dyDescent="0.3">
      <c r="B57" s="3">
        <v>2016</v>
      </c>
      <c r="C57" s="23">
        <f t="shared" ref="C57:N57" si="20">IFERROR(C52/$T52,0)</f>
        <v>0.81300966087011783</v>
      </c>
      <c r="D57" s="23">
        <f t="shared" si="20"/>
        <v>5.9950909921329176E-2</v>
      </c>
      <c r="E57" s="23">
        <f t="shared" si="20"/>
        <v>3.074325960720705E-3</v>
      </c>
      <c r="F57" s="23">
        <f t="shared" si="20"/>
        <v>8.2311749738719908E-3</v>
      </c>
      <c r="G57" s="23">
        <f t="shared" si="20"/>
        <v>6.4241702329278394E-2</v>
      </c>
      <c r="H57" s="23">
        <f t="shared" si="20"/>
        <v>1.8283491093673783E-2</v>
      </c>
      <c r="I57" s="23">
        <f t="shared" si="20"/>
        <v>3.7058660628597542E-3</v>
      </c>
      <c r="J57" s="23">
        <f t="shared" si="20"/>
        <v>1.0730936058217349E-2</v>
      </c>
      <c r="K57" s="23">
        <f t="shared" si="20"/>
        <v>0</v>
      </c>
      <c r="L57" s="23">
        <f t="shared" si="20"/>
        <v>6.5962640695744054E-3</v>
      </c>
      <c r="M57" s="23">
        <f t="shared" si="20"/>
        <v>0</v>
      </c>
      <c r="N57" s="23">
        <f t="shared" si="20"/>
        <v>1.2175668660356546E-2</v>
      </c>
      <c r="O57" s="23">
        <f t="shared" ref="O57:O60" si="21">IFERROR(O52/$T52,0)</f>
        <v>0</v>
      </c>
      <c r="P57" s="26"/>
      <c r="Q57" s="7">
        <f t="shared" ref="Q57:R60" si="22">Q52/$T52</f>
        <v>7.6417370989634942E-2</v>
      </c>
      <c r="R57" s="7">
        <f t="shared" si="22"/>
        <v>6.5962640695744054E-3</v>
      </c>
      <c r="T57" s="8">
        <f>SUM(C57:O57)</f>
        <v>0.99999999999999978</v>
      </c>
    </row>
    <row r="58" spans="1:37" x14ac:dyDescent="0.3">
      <c r="B58" s="3">
        <v>2030</v>
      </c>
      <c r="C58" s="23">
        <f t="shared" ref="C58:N58" si="23">IFERROR(C53/$T53,0)</f>
        <v>0.64848913304320177</v>
      </c>
      <c r="D58" s="23">
        <f t="shared" si="23"/>
        <v>4.6451294889838686E-2</v>
      </c>
      <c r="E58" s="23">
        <f t="shared" si="23"/>
        <v>5.4153181608867375E-2</v>
      </c>
      <c r="F58" s="23">
        <f t="shared" si="23"/>
        <v>8.3569524526050203E-3</v>
      </c>
      <c r="G58" s="23">
        <f t="shared" si="23"/>
        <v>4.142480039952523E-2</v>
      </c>
      <c r="H58" s="23">
        <f t="shared" si="23"/>
        <v>0.11318692722284557</v>
      </c>
      <c r="I58" s="23">
        <f t="shared" si="23"/>
        <v>1.6065324970976048E-2</v>
      </c>
      <c r="J58" s="23">
        <f t="shared" si="23"/>
        <v>3.8995868545818928E-2</v>
      </c>
      <c r="K58" s="23">
        <f t="shared" si="23"/>
        <v>7.0241206877541609E-3</v>
      </c>
      <c r="L58" s="23">
        <f t="shared" si="23"/>
        <v>8.3245234558933182E-3</v>
      </c>
      <c r="M58" s="23">
        <f t="shared" si="23"/>
        <v>0</v>
      </c>
      <c r="N58" s="23">
        <f t="shared" si="23"/>
        <v>1.7527872722673702E-2</v>
      </c>
      <c r="O58" s="23">
        <f t="shared" si="21"/>
        <v>0</v>
      </c>
      <c r="P58" s="26"/>
      <c r="Q58" s="7">
        <f t="shared" si="22"/>
        <v>5.8952673122198929E-2</v>
      </c>
      <c r="R58" s="7">
        <f t="shared" si="22"/>
        <v>1.5348644143647479E-2</v>
      </c>
      <c r="T58" s="8">
        <f t="shared" ref="T58:T60" si="24">SUM(C58:O58)</f>
        <v>0.99999999999999989</v>
      </c>
    </row>
    <row r="59" spans="1:37" x14ac:dyDescent="0.3">
      <c r="B59" s="3">
        <v>2040</v>
      </c>
      <c r="C59" s="23">
        <f t="shared" ref="C59:N59" si="25">IFERROR(C54/$T54,0)</f>
        <v>0.50187771470498466</v>
      </c>
      <c r="D59" s="23">
        <f t="shared" si="25"/>
        <v>4.0928859676881847E-2</v>
      </c>
      <c r="E59" s="23">
        <f t="shared" si="25"/>
        <v>8.1359235807921412E-2</v>
      </c>
      <c r="F59" s="23">
        <f t="shared" si="25"/>
        <v>8.9474996009331152E-3</v>
      </c>
      <c r="G59" s="23">
        <f t="shared" si="25"/>
        <v>7.9617343866832085E-2</v>
      </c>
      <c r="H59" s="23">
        <f t="shared" si="25"/>
        <v>0.18284544489656468</v>
      </c>
      <c r="I59" s="23">
        <f t="shared" si="25"/>
        <v>1.4133968853179791E-2</v>
      </c>
      <c r="J59" s="23">
        <f t="shared" si="25"/>
        <v>6.1632729645488576E-2</v>
      </c>
      <c r="K59" s="23">
        <f t="shared" si="25"/>
        <v>6.1862368132899071E-3</v>
      </c>
      <c r="L59" s="23">
        <f t="shared" si="25"/>
        <v>7.3876381681569833E-3</v>
      </c>
      <c r="M59" s="23">
        <f t="shared" si="25"/>
        <v>0</v>
      </c>
      <c r="N59" s="23">
        <f t="shared" si="25"/>
        <v>1.5083327965767066E-2</v>
      </c>
      <c r="O59" s="23">
        <f t="shared" si="21"/>
        <v>0</v>
      </c>
      <c r="P59" s="26"/>
      <c r="Q59" s="7">
        <f t="shared" si="22"/>
        <v>9.4700671832599143E-2</v>
      </c>
      <c r="R59" s="7">
        <f t="shared" si="22"/>
        <v>1.3573874981446892E-2</v>
      </c>
      <c r="T59" s="8">
        <f t="shared" si="24"/>
        <v>1</v>
      </c>
    </row>
    <row r="60" spans="1:37" x14ac:dyDescent="0.3">
      <c r="B60" s="3">
        <v>2050</v>
      </c>
      <c r="C60" s="23">
        <f t="shared" ref="C60:N60" si="26">IFERROR(C55/$T55,0)</f>
        <v>0.50049157266646793</v>
      </c>
      <c r="D60" s="23">
        <f t="shared" si="26"/>
        <v>0</v>
      </c>
      <c r="E60" s="23">
        <f t="shared" si="26"/>
        <v>8.4793670217494746E-2</v>
      </c>
      <c r="F60" s="23">
        <f t="shared" si="26"/>
        <v>8.403800798021159E-3</v>
      </c>
      <c r="G60" s="23">
        <f t="shared" si="26"/>
        <v>7.3571170831960589E-2</v>
      </c>
      <c r="H60" s="23">
        <f t="shared" si="26"/>
        <v>0.23817741589662328</v>
      </c>
      <c r="I60" s="23">
        <f t="shared" si="26"/>
        <v>0</v>
      </c>
      <c r="J60" s="23">
        <f t="shared" si="26"/>
        <v>7.2023239882231735E-2</v>
      </c>
      <c r="K60" s="23">
        <f t="shared" si="26"/>
        <v>4.7091615548338845E-3</v>
      </c>
      <c r="L60" s="23">
        <f t="shared" si="26"/>
        <v>4.1234579522337785E-3</v>
      </c>
      <c r="M60" s="23">
        <f t="shared" si="26"/>
        <v>0</v>
      </c>
      <c r="N60" s="23">
        <f t="shared" si="26"/>
        <v>1.3706510200132829E-2</v>
      </c>
      <c r="O60" s="23">
        <f t="shared" si="21"/>
        <v>0</v>
      </c>
      <c r="P60" s="26"/>
      <c r="Q60" s="7">
        <f t="shared" si="22"/>
        <v>8.7277681032093421E-2</v>
      </c>
      <c r="R60" s="7">
        <f t="shared" si="22"/>
        <v>8.8326195070676638E-3</v>
      </c>
      <c r="T60" s="8">
        <f t="shared" si="24"/>
        <v>1</v>
      </c>
    </row>
    <row r="62" spans="1:37" s="9" customFormat="1" ht="21" x14ac:dyDescent="0.4">
      <c r="B62" s="10" t="s">
        <v>12</v>
      </c>
    </row>
    <row r="63" spans="1:37" s="32" customFormat="1" ht="21" x14ac:dyDescent="0.4">
      <c r="B63" s="31"/>
      <c r="P63" s="58"/>
    </row>
    <row r="64" spans="1:37" ht="28.8" x14ac:dyDescent="0.3">
      <c r="B64" s="43" t="s">
        <v>37</v>
      </c>
      <c r="C64" s="43" t="s">
        <v>0</v>
      </c>
      <c r="D64" s="43" t="s">
        <v>1</v>
      </c>
      <c r="E64" s="43" t="s">
        <v>28</v>
      </c>
      <c r="F64" s="2" t="s">
        <v>29</v>
      </c>
      <c r="G64" s="2" t="s">
        <v>6</v>
      </c>
      <c r="H64" s="43" t="s">
        <v>2</v>
      </c>
      <c r="I64" s="43" t="s">
        <v>3</v>
      </c>
      <c r="J64" s="43" t="s">
        <v>4</v>
      </c>
      <c r="K64" s="43" t="s">
        <v>9</v>
      </c>
      <c r="L64" s="43" t="s">
        <v>8</v>
      </c>
      <c r="M64" s="43" t="s">
        <v>25</v>
      </c>
      <c r="N64" s="43" t="s">
        <v>7</v>
      </c>
      <c r="O64" s="43" t="s">
        <v>89</v>
      </c>
      <c r="P64" s="25"/>
      <c r="Q64" s="43" t="s">
        <v>5</v>
      </c>
      <c r="R64" s="43" t="s">
        <v>91</v>
      </c>
      <c r="T64" s="43"/>
    </row>
    <row r="65" spans="2:20" x14ac:dyDescent="0.3">
      <c r="B65" s="3">
        <v>2016</v>
      </c>
      <c r="C65" s="23">
        <f t="shared" ref="C65:O65" si="27">IFERROR(C34/(8.76*C4),0)</f>
        <v>0.61670682155154666</v>
      </c>
      <c r="D65" s="23">
        <f t="shared" si="27"/>
        <v>0.90488773776270071</v>
      </c>
      <c r="E65" s="23">
        <f t="shared" si="27"/>
        <v>0.20327398012747969</v>
      </c>
      <c r="F65" s="23">
        <f t="shared" si="27"/>
        <v>6.7588779038524713E-2</v>
      </c>
      <c r="G65" s="23">
        <f t="shared" si="27"/>
        <v>0.82769756710584552</v>
      </c>
      <c r="H65" s="23">
        <f t="shared" si="27"/>
        <v>0.35157512265710944</v>
      </c>
      <c r="I65" s="23">
        <f t="shared" si="27"/>
        <v>0.47241434111308539</v>
      </c>
      <c r="J65" s="23">
        <f t="shared" si="27"/>
        <v>0.20369543738680201</v>
      </c>
      <c r="K65" s="23">
        <f t="shared" si="27"/>
        <v>0</v>
      </c>
      <c r="L65" s="23">
        <f t="shared" si="27"/>
        <v>0.68481680259532229</v>
      </c>
      <c r="M65" s="23">
        <f t="shared" si="27"/>
        <v>0</v>
      </c>
      <c r="N65" s="23">
        <f t="shared" si="27"/>
        <v>0.21634536847565858</v>
      </c>
      <c r="O65" s="23">
        <f t="shared" si="27"/>
        <v>0</v>
      </c>
      <c r="P65" s="26"/>
      <c r="Q65" s="6">
        <f t="shared" ref="Q65:R68" si="28">IFERROR(Q34/(8.76*Q4),0)</f>
        <v>0.57073122663346065</v>
      </c>
      <c r="R65" s="6">
        <f t="shared" si="28"/>
        <v>0.68481680259532229</v>
      </c>
      <c r="S65" s="5"/>
      <c r="T65" s="5"/>
    </row>
    <row r="66" spans="2:20" x14ac:dyDescent="0.3">
      <c r="B66" s="3">
        <v>2030</v>
      </c>
      <c r="C66" s="23">
        <f t="shared" ref="C66:O66" si="29">IFERROR(C35/(8.76*C5),0)</f>
        <v>0.66837476563926324</v>
      </c>
      <c r="D66" s="23">
        <f t="shared" si="29"/>
        <v>0.89667947589523311</v>
      </c>
      <c r="E66" s="23">
        <f t="shared" si="29"/>
        <v>0.59918000554323936</v>
      </c>
      <c r="F66" s="23">
        <f t="shared" si="29"/>
        <v>7.8708511609440306E-3</v>
      </c>
      <c r="G66" s="23">
        <f t="shared" si="29"/>
        <v>0.67200291917494548</v>
      </c>
      <c r="H66" s="23">
        <f t="shared" si="29"/>
        <v>0.36597872996021602</v>
      </c>
      <c r="I66" s="23">
        <f t="shared" si="29"/>
        <v>0.47913257753103355</v>
      </c>
      <c r="J66" s="23">
        <f t="shared" si="29"/>
        <v>0.20248303949251753</v>
      </c>
      <c r="K66" s="23">
        <f t="shared" si="29"/>
        <v>0</v>
      </c>
      <c r="L66" s="23">
        <f t="shared" si="29"/>
        <v>0.68846970942039798</v>
      </c>
      <c r="M66" s="23">
        <f t="shared" si="29"/>
        <v>0</v>
      </c>
      <c r="N66" s="23">
        <f t="shared" si="29"/>
        <v>0.1777485545326381</v>
      </c>
      <c r="O66" s="23">
        <f t="shared" si="29"/>
        <v>0</v>
      </c>
      <c r="P66" s="26"/>
      <c r="Q66" s="6">
        <f t="shared" si="28"/>
        <v>0.4642556735950451</v>
      </c>
      <c r="R66" s="6">
        <f t="shared" si="28"/>
        <v>0.68846970942039798</v>
      </c>
      <c r="S66" s="5"/>
      <c r="T66" s="5"/>
    </row>
    <row r="67" spans="2:20" x14ac:dyDescent="0.3">
      <c r="B67" s="3">
        <v>2040</v>
      </c>
      <c r="C67" s="23">
        <f t="shared" ref="C67:O67" si="30">IFERROR(C36/(8.76*C6),0)</f>
        <v>0.62861128003737254</v>
      </c>
      <c r="D67" s="23">
        <f t="shared" si="30"/>
        <v>0.90079682009939988</v>
      </c>
      <c r="E67" s="23">
        <f t="shared" si="30"/>
        <v>0.60479612153325513</v>
      </c>
      <c r="F67" s="23">
        <f t="shared" si="30"/>
        <v>9.5819564627992598E-3</v>
      </c>
      <c r="G67" s="23">
        <f t="shared" si="30"/>
        <v>0.67658864874754954</v>
      </c>
      <c r="H67" s="23">
        <f t="shared" si="30"/>
        <v>0</v>
      </c>
      <c r="I67" s="23">
        <f t="shared" si="30"/>
        <v>0.48206651857977667</v>
      </c>
      <c r="J67" s="23">
        <f t="shared" si="30"/>
        <v>0.20371884530576209</v>
      </c>
      <c r="K67" s="23">
        <f t="shared" si="30"/>
        <v>0</v>
      </c>
      <c r="L67" s="23">
        <f t="shared" si="30"/>
        <v>0.70000651096331923</v>
      </c>
      <c r="M67" s="23">
        <f t="shared" si="30"/>
        <v>0</v>
      </c>
      <c r="N67" s="23">
        <f t="shared" si="30"/>
        <v>0.1768232673247514</v>
      </c>
      <c r="O67" s="23">
        <f t="shared" si="30"/>
        <v>0</v>
      </c>
      <c r="P67" s="26"/>
      <c r="Q67" s="6">
        <f t="shared" si="28"/>
        <v>0.46652498749508325</v>
      </c>
      <c r="R67" s="6">
        <f t="shared" si="28"/>
        <v>0.70000651096331923</v>
      </c>
      <c r="S67" s="5"/>
      <c r="T67" s="5"/>
    </row>
    <row r="68" spans="2:20" x14ac:dyDescent="0.3">
      <c r="B68" s="3">
        <v>2050</v>
      </c>
      <c r="C68" s="23">
        <f t="shared" ref="C68:O68" si="31">IFERROR(C37/(8.76*C7),0)</f>
        <v>0</v>
      </c>
      <c r="D68" s="23">
        <f t="shared" si="31"/>
        <v>0</v>
      </c>
      <c r="E68" s="23">
        <f t="shared" si="31"/>
        <v>0.5942606446940506</v>
      </c>
      <c r="F68" s="23">
        <f t="shared" si="31"/>
        <v>0</v>
      </c>
      <c r="G68" s="23">
        <f t="shared" si="31"/>
        <v>0.67623265959626744</v>
      </c>
      <c r="H68" s="23">
        <f t="shared" si="31"/>
        <v>0</v>
      </c>
      <c r="I68" s="23">
        <f t="shared" si="31"/>
        <v>0</v>
      </c>
      <c r="J68" s="23">
        <f t="shared" si="31"/>
        <v>0</v>
      </c>
      <c r="K68" s="23">
        <f t="shared" si="31"/>
        <v>0</v>
      </c>
      <c r="L68" s="23">
        <f t="shared" si="31"/>
        <v>0.69394476703393937</v>
      </c>
      <c r="M68" s="23">
        <f t="shared" si="31"/>
        <v>0</v>
      </c>
      <c r="N68" s="23">
        <f t="shared" si="31"/>
        <v>0.1778590302626146</v>
      </c>
      <c r="O68" s="23">
        <f t="shared" si="31"/>
        <v>0</v>
      </c>
      <c r="P68" s="26"/>
      <c r="Q68" s="6">
        <f t="shared" si="28"/>
        <v>0.46675398592051021</v>
      </c>
      <c r="R68" s="6">
        <f t="shared" si="28"/>
        <v>0.69394476703393937</v>
      </c>
      <c r="S68" s="5"/>
      <c r="T68" s="5"/>
    </row>
    <row r="69" spans="2:20" x14ac:dyDescent="0.3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28"/>
      <c r="Q69" s="5"/>
      <c r="R69" s="5"/>
      <c r="S69" s="5"/>
      <c r="T69" s="5"/>
    </row>
    <row r="70" spans="2:20" ht="28.8" x14ac:dyDescent="0.3">
      <c r="B70" s="43" t="s">
        <v>38</v>
      </c>
      <c r="C70" s="43" t="s">
        <v>0</v>
      </c>
      <c r="D70" s="43" t="s">
        <v>1</v>
      </c>
      <c r="E70" s="43" t="s">
        <v>28</v>
      </c>
      <c r="F70" s="2" t="s">
        <v>29</v>
      </c>
      <c r="G70" s="2" t="s">
        <v>6</v>
      </c>
      <c r="H70" s="43" t="s">
        <v>2</v>
      </c>
      <c r="I70" s="43" t="s">
        <v>3</v>
      </c>
      <c r="J70" s="43" t="s">
        <v>4</v>
      </c>
      <c r="K70" s="43" t="s">
        <v>9</v>
      </c>
      <c r="L70" s="43" t="s">
        <v>8</v>
      </c>
      <c r="M70" s="43" t="s">
        <v>25</v>
      </c>
      <c r="N70" s="43" t="s">
        <v>7</v>
      </c>
      <c r="O70" s="43" t="s">
        <v>89</v>
      </c>
      <c r="P70" s="25"/>
      <c r="Q70" s="43" t="s">
        <v>5</v>
      </c>
      <c r="R70" s="43" t="s">
        <v>91</v>
      </c>
      <c r="T70" s="43"/>
    </row>
    <row r="71" spans="2:20" x14ac:dyDescent="0.3">
      <c r="B71" s="3">
        <v>2016</v>
      </c>
      <c r="C71" s="23">
        <f t="shared" ref="C71:O71" si="32">IFERROR(C40/(8.76*C10),0)</f>
        <v>0.81216512155767595</v>
      </c>
      <c r="D71" s="23">
        <f t="shared" si="32"/>
        <v>0</v>
      </c>
      <c r="E71" s="23">
        <f t="shared" si="32"/>
        <v>0</v>
      </c>
      <c r="F71" s="23">
        <f t="shared" si="32"/>
        <v>0</v>
      </c>
      <c r="G71" s="23">
        <f t="shared" si="32"/>
        <v>0</v>
      </c>
      <c r="H71" s="23">
        <f t="shared" si="32"/>
        <v>0.35157512265717339</v>
      </c>
      <c r="I71" s="23">
        <f t="shared" si="32"/>
        <v>0</v>
      </c>
      <c r="J71" s="23">
        <f t="shared" si="32"/>
        <v>0</v>
      </c>
      <c r="K71" s="23">
        <f t="shared" si="32"/>
        <v>0</v>
      </c>
      <c r="L71" s="23">
        <f t="shared" si="32"/>
        <v>0</v>
      </c>
      <c r="M71" s="23">
        <f t="shared" si="32"/>
        <v>0</v>
      </c>
      <c r="N71" s="23">
        <f t="shared" si="32"/>
        <v>0</v>
      </c>
      <c r="O71" s="23">
        <f t="shared" si="32"/>
        <v>0</v>
      </c>
      <c r="P71" s="26"/>
      <c r="Q71" s="7">
        <f t="shared" ref="Q71:R74" si="33">IFERROR(Q40/(8.76*Q10),0)</f>
        <v>0</v>
      </c>
      <c r="R71" s="7">
        <f t="shared" si="33"/>
        <v>0</v>
      </c>
      <c r="S71" s="5"/>
      <c r="T71" s="5"/>
    </row>
    <row r="72" spans="2:20" x14ac:dyDescent="0.3">
      <c r="B72" s="3">
        <v>2030</v>
      </c>
      <c r="C72" s="23">
        <f t="shared" ref="C72:O72" si="34">IFERROR(C41/(8.76*C11),0)</f>
        <v>0.8240115637068951</v>
      </c>
      <c r="D72" s="23">
        <f t="shared" si="34"/>
        <v>0</v>
      </c>
      <c r="E72" s="23">
        <f t="shared" si="34"/>
        <v>0</v>
      </c>
      <c r="F72" s="23">
        <f t="shared" si="34"/>
        <v>0</v>
      </c>
      <c r="G72" s="23">
        <f t="shared" si="34"/>
        <v>0.51231672931629357</v>
      </c>
      <c r="H72" s="23">
        <f t="shared" si="34"/>
        <v>0.36602368924042333</v>
      </c>
      <c r="I72" s="23">
        <f t="shared" si="34"/>
        <v>0.56587711465390611</v>
      </c>
      <c r="J72" s="23">
        <f t="shared" si="34"/>
        <v>0.20253853771257374</v>
      </c>
      <c r="K72" s="23">
        <f t="shared" si="34"/>
        <v>0.76232377818505082</v>
      </c>
      <c r="L72" s="23">
        <f t="shared" si="34"/>
        <v>0.76558322889511476</v>
      </c>
      <c r="M72" s="23">
        <f t="shared" si="34"/>
        <v>0</v>
      </c>
      <c r="N72" s="23">
        <f t="shared" si="34"/>
        <v>0.26163048915568976</v>
      </c>
      <c r="O72" s="23">
        <f t="shared" si="34"/>
        <v>0</v>
      </c>
      <c r="P72" s="26"/>
      <c r="Q72" s="7">
        <f t="shared" si="33"/>
        <v>0.26982284994525196</v>
      </c>
      <c r="R72" s="7">
        <f t="shared" si="33"/>
        <v>0.76474463235320511</v>
      </c>
      <c r="S72" s="5"/>
      <c r="T72" s="5"/>
    </row>
    <row r="73" spans="2:20" x14ac:dyDescent="0.3">
      <c r="B73" s="3">
        <v>2040</v>
      </c>
      <c r="C73" s="23">
        <f t="shared" ref="C73:O73" si="35">IFERROR(C42/(8.76*C12),0)</f>
        <v>0.8475230586698953</v>
      </c>
      <c r="D73" s="23">
        <f t="shared" si="35"/>
        <v>0</v>
      </c>
      <c r="E73" s="23">
        <f t="shared" si="35"/>
        <v>0</v>
      </c>
      <c r="F73" s="23">
        <f t="shared" si="35"/>
        <v>0</v>
      </c>
      <c r="G73" s="23">
        <f t="shared" si="35"/>
        <v>0.50442156522021819</v>
      </c>
      <c r="H73" s="23">
        <f t="shared" si="35"/>
        <v>0</v>
      </c>
      <c r="I73" s="23">
        <f t="shared" si="35"/>
        <v>0.56727195275835229</v>
      </c>
      <c r="J73" s="23">
        <f t="shared" si="35"/>
        <v>0.20372062600263727</v>
      </c>
      <c r="K73" s="23">
        <f t="shared" si="35"/>
        <v>0.77004321277185972</v>
      </c>
      <c r="L73" s="23">
        <f t="shared" si="35"/>
        <v>0.76877083469391538</v>
      </c>
      <c r="M73" s="23">
        <f t="shared" si="35"/>
        <v>0</v>
      </c>
      <c r="N73" s="23">
        <f t="shared" si="35"/>
        <v>0.25381162910087762</v>
      </c>
      <c r="O73" s="23">
        <f t="shared" si="35"/>
        <v>0</v>
      </c>
      <c r="P73" s="26"/>
      <c r="Q73" s="7">
        <f t="shared" si="33"/>
        <v>0.26200149629432007</v>
      </c>
      <c r="R73" s="7">
        <f t="shared" si="33"/>
        <v>0.7690981941023185</v>
      </c>
      <c r="S73" s="5"/>
      <c r="T73" s="5"/>
    </row>
    <row r="74" spans="2:20" x14ac:dyDescent="0.3">
      <c r="B74" s="3">
        <v>2050</v>
      </c>
      <c r="C74" s="23">
        <f t="shared" ref="C74:O74" si="36">IFERROR(C43/(8.76*C13),0)</f>
        <v>0.84395631820024908</v>
      </c>
      <c r="D74" s="23">
        <f t="shared" si="36"/>
        <v>0</v>
      </c>
      <c r="E74" s="23">
        <f t="shared" si="36"/>
        <v>0</v>
      </c>
      <c r="F74" s="23">
        <f t="shared" si="36"/>
        <v>0</v>
      </c>
      <c r="G74" s="23">
        <f t="shared" si="36"/>
        <v>0.49824383526968619</v>
      </c>
      <c r="H74" s="23">
        <f t="shared" si="36"/>
        <v>0</v>
      </c>
      <c r="I74" s="23">
        <f t="shared" si="36"/>
        <v>0</v>
      </c>
      <c r="J74" s="23">
        <f t="shared" si="36"/>
        <v>0</v>
      </c>
      <c r="K74" s="23">
        <f t="shared" si="36"/>
        <v>0</v>
      </c>
      <c r="L74" s="23">
        <f t="shared" si="36"/>
        <v>0</v>
      </c>
      <c r="M74" s="23">
        <f t="shared" si="36"/>
        <v>0</v>
      </c>
      <c r="N74" s="23">
        <f t="shared" si="36"/>
        <v>0.246208925039617</v>
      </c>
      <c r="O74" s="23">
        <f t="shared" si="36"/>
        <v>0</v>
      </c>
      <c r="P74" s="26"/>
      <c r="Q74" s="7">
        <f t="shared" si="33"/>
        <v>0.25444536001445583</v>
      </c>
      <c r="R74" s="7">
        <f t="shared" si="33"/>
        <v>0</v>
      </c>
      <c r="S74" s="5"/>
      <c r="T74" s="5"/>
    </row>
    <row r="75" spans="2:20" x14ac:dyDescent="0.3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28"/>
      <c r="Q75" s="5"/>
      <c r="R75" s="5"/>
      <c r="S75" s="5"/>
      <c r="T75" s="5"/>
    </row>
    <row r="76" spans="2:20" ht="28.8" x14ac:dyDescent="0.3">
      <c r="B76" s="43" t="s">
        <v>43</v>
      </c>
      <c r="C76" s="43" t="s">
        <v>0</v>
      </c>
      <c r="D76" s="43" t="s">
        <v>1</v>
      </c>
      <c r="E76" s="43" t="s">
        <v>28</v>
      </c>
      <c r="F76" s="2" t="s">
        <v>29</v>
      </c>
      <c r="G76" s="2" t="s">
        <v>6</v>
      </c>
      <c r="H76" s="43" t="s">
        <v>2</v>
      </c>
      <c r="I76" s="43" t="s">
        <v>3</v>
      </c>
      <c r="J76" s="43" t="s">
        <v>4</v>
      </c>
      <c r="K76" s="43" t="s">
        <v>9</v>
      </c>
      <c r="L76" s="43" t="s">
        <v>8</v>
      </c>
      <c r="M76" s="43" t="s">
        <v>25</v>
      </c>
      <c r="N76" s="43" t="s">
        <v>7</v>
      </c>
      <c r="O76" s="43" t="s">
        <v>89</v>
      </c>
      <c r="P76" s="25"/>
      <c r="Q76" s="43" t="s">
        <v>5</v>
      </c>
      <c r="R76" s="43" t="s">
        <v>91</v>
      </c>
      <c r="T76" s="43"/>
    </row>
    <row r="77" spans="2:20" x14ac:dyDescent="0.3">
      <c r="B77" s="3">
        <v>2016</v>
      </c>
      <c r="C77" s="23">
        <f t="shared" ref="C77:O77" si="37">IFERROR(C46/(8.76*C16),0)</f>
        <v>0</v>
      </c>
      <c r="D77" s="23">
        <f t="shared" si="37"/>
        <v>0</v>
      </c>
      <c r="E77" s="23">
        <f t="shared" si="37"/>
        <v>0</v>
      </c>
      <c r="F77" s="23">
        <f t="shared" si="37"/>
        <v>0</v>
      </c>
      <c r="G77" s="23">
        <f t="shared" si="37"/>
        <v>0</v>
      </c>
      <c r="H77" s="23">
        <f t="shared" si="37"/>
        <v>0</v>
      </c>
      <c r="I77" s="23">
        <f t="shared" si="37"/>
        <v>0</v>
      </c>
      <c r="J77" s="23">
        <f t="shared" si="37"/>
        <v>0</v>
      </c>
      <c r="K77" s="23">
        <f t="shared" si="37"/>
        <v>0</v>
      </c>
      <c r="L77" s="23">
        <f t="shared" si="37"/>
        <v>0</v>
      </c>
      <c r="M77" s="23">
        <f t="shared" si="37"/>
        <v>0</v>
      </c>
      <c r="N77" s="23">
        <f t="shared" si="37"/>
        <v>0</v>
      </c>
      <c r="O77" s="23">
        <f t="shared" si="37"/>
        <v>0</v>
      </c>
      <c r="P77" s="26"/>
      <c r="Q77" s="7">
        <f t="shared" ref="Q77:R80" si="38">IFERROR(Q46/(8.76*Q16),0)</f>
        <v>0</v>
      </c>
      <c r="R77" s="7">
        <f t="shared" si="38"/>
        <v>0</v>
      </c>
      <c r="S77" s="5"/>
      <c r="T77" s="5"/>
    </row>
    <row r="78" spans="2:20" x14ac:dyDescent="0.3">
      <c r="B78" s="3">
        <v>2030</v>
      </c>
      <c r="C78" s="23">
        <f t="shared" ref="C78:O78" si="39">IFERROR(C47/(8.76*C17),0)</f>
        <v>0</v>
      </c>
      <c r="D78" s="23">
        <f t="shared" si="39"/>
        <v>0</v>
      </c>
      <c r="E78" s="23">
        <f t="shared" si="39"/>
        <v>0.32981002986377317</v>
      </c>
      <c r="F78" s="23">
        <f t="shared" si="39"/>
        <v>4.7492421571746622E-2</v>
      </c>
      <c r="G78" s="23">
        <f t="shared" si="39"/>
        <v>0</v>
      </c>
      <c r="H78" s="23">
        <f t="shared" si="39"/>
        <v>0.36587398630003876</v>
      </c>
      <c r="I78" s="23">
        <f t="shared" si="39"/>
        <v>0</v>
      </c>
      <c r="J78" s="23">
        <f t="shared" si="39"/>
        <v>0.2026547771840948</v>
      </c>
      <c r="K78" s="23">
        <f t="shared" si="39"/>
        <v>0.84718557329667088</v>
      </c>
      <c r="L78" s="23">
        <f t="shared" si="39"/>
        <v>0</v>
      </c>
      <c r="M78" s="23">
        <f t="shared" si="39"/>
        <v>0</v>
      </c>
      <c r="N78" s="23">
        <f t="shared" si="39"/>
        <v>0</v>
      </c>
      <c r="O78" s="23">
        <f t="shared" si="39"/>
        <v>0</v>
      </c>
      <c r="P78" s="26"/>
      <c r="Q78" s="7">
        <f t="shared" si="38"/>
        <v>0</v>
      </c>
      <c r="R78" s="7">
        <f t="shared" si="38"/>
        <v>0.84718557329667088</v>
      </c>
      <c r="S78" s="5"/>
      <c r="T78" s="5"/>
    </row>
    <row r="79" spans="2:20" x14ac:dyDescent="0.3">
      <c r="B79" s="3">
        <v>2040</v>
      </c>
      <c r="C79" s="23">
        <f t="shared" ref="C79:O79" si="40">IFERROR(C48/(8.76*C18),0)</f>
        <v>0.84977200653967655</v>
      </c>
      <c r="D79" s="23">
        <f t="shared" si="40"/>
        <v>0</v>
      </c>
      <c r="E79" s="23">
        <f t="shared" si="40"/>
        <v>0.3499273215423831</v>
      </c>
      <c r="F79" s="23">
        <f t="shared" si="40"/>
        <v>3.1417281083831815E-2</v>
      </c>
      <c r="G79" s="23">
        <f t="shared" si="40"/>
        <v>0.7049062091422903</v>
      </c>
      <c r="H79" s="23">
        <f t="shared" si="40"/>
        <v>0.35141046110534857</v>
      </c>
      <c r="I79" s="23">
        <f t="shared" si="40"/>
        <v>0</v>
      </c>
      <c r="J79" s="23">
        <f t="shared" si="40"/>
        <v>0.20406145138454279</v>
      </c>
      <c r="K79" s="23">
        <f t="shared" si="40"/>
        <v>0.83305985771217861</v>
      </c>
      <c r="L79" s="23">
        <f t="shared" si="40"/>
        <v>0</v>
      </c>
      <c r="M79" s="23">
        <f t="shared" si="40"/>
        <v>0</v>
      </c>
      <c r="N79" s="23">
        <f t="shared" si="40"/>
        <v>0</v>
      </c>
      <c r="O79" s="23">
        <f t="shared" si="40"/>
        <v>0</v>
      </c>
      <c r="P79" s="26"/>
      <c r="Q79" s="7">
        <f t="shared" si="38"/>
        <v>0.6220492491548627</v>
      </c>
      <c r="R79" s="7">
        <f t="shared" si="38"/>
        <v>0.83305985771217861</v>
      </c>
      <c r="S79" s="5"/>
      <c r="T79" s="5"/>
    </row>
    <row r="80" spans="2:20" x14ac:dyDescent="0.3">
      <c r="B80" s="3">
        <v>2050</v>
      </c>
      <c r="C80" s="23">
        <f t="shared" ref="C80:O80" si="41">IFERROR(C49/(8.76*C19),0)</f>
        <v>0.82251650250274189</v>
      </c>
      <c r="D80" s="23">
        <f t="shared" si="41"/>
        <v>0</v>
      </c>
      <c r="E80" s="23">
        <f t="shared" si="41"/>
        <v>0.32012579044752598</v>
      </c>
      <c r="F80" s="23">
        <f t="shared" si="41"/>
        <v>2.5255214254541639E-2</v>
      </c>
      <c r="G80" s="23">
        <f t="shared" si="41"/>
        <v>0.70910682213407983</v>
      </c>
      <c r="H80" s="23">
        <f t="shared" si="41"/>
        <v>0.34809217223926353</v>
      </c>
      <c r="I80" s="23">
        <f t="shared" si="41"/>
        <v>0</v>
      </c>
      <c r="J80" s="23">
        <f t="shared" si="41"/>
        <v>0.20252695281453983</v>
      </c>
      <c r="K80" s="23">
        <f t="shared" si="41"/>
        <v>0.82048504783971798</v>
      </c>
      <c r="L80" s="23">
        <f t="shared" si="41"/>
        <v>0</v>
      </c>
      <c r="M80" s="23">
        <f t="shared" si="41"/>
        <v>0</v>
      </c>
      <c r="N80" s="23">
        <f t="shared" si="41"/>
        <v>0</v>
      </c>
      <c r="O80" s="23">
        <f t="shared" si="41"/>
        <v>0</v>
      </c>
      <c r="P80" s="26"/>
      <c r="Q80" s="7">
        <f t="shared" si="38"/>
        <v>0.62575610848400975</v>
      </c>
      <c r="R80" s="7">
        <f t="shared" si="38"/>
        <v>0.82048504783971798</v>
      </c>
      <c r="S80" s="5"/>
      <c r="T80" s="5"/>
    </row>
    <row r="81" spans="1:58" x14ac:dyDescent="0.3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28"/>
    </row>
    <row r="82" spans="1:58" ht="28.8" x14ac:dyDescent="0.3">
      <c r="B82" s="43" t="s">
        <v>52</v>
      </c>
      <c r="C82" s="43" t="s">
        <v>0</v>
      </c>
      <c r="D82" s="43" t="s">
        <v>1</v>
      </c>
      <c r="E82" s="43" t="s">
        <v>28</v>
      </c>
      <c r="F82" s="2" t="s">
        <v>29</v>
      </c>
      <c r="G82" s="2" t="s">
        <v>6</v>
      </c>
      <c r="H82" s="43" t="s">
        <v>2</v>
      </c>
      <c r="I82" s="43" t="s">
        <v>3</v>
      </c>
      <c r="J82" s="43" t="s">
        <v>4</v>
      </c>
      <c r="K82" s="43" t="s">
        <v>9</v>
      </c>
      <c r="L82" s="43" t="s">
        <v>8</v>
      </c>
      <c r="M82" s="43" t="s">
        <v>25</v>
      </c>
      <c r="N82" s="43" t="s">
        <v>7</v>
      </c>
      <c r="O82" s="43" t="s">
        <v>89</v>
      </c>
      <c r="P82" s="25"/>
      <c r="Q82" s="43" t="s">
        <v>5</v>
      </c>
      <c r="R82" s="43" t="s">
        <v>91</v>
      </c>
      <c r="T82" s="43"/>
    </row>
    <row r="83" spans="1:58" x14ac:dyDescent="0.3">
      <c r="B83" s="3">
        <v>2016</v>
      </c>
      <c r="C83" s="23">
        <f t="shared" ref="C83:O83" si="42">IFERROR(C52/(8.76*C22),0)</f>
        <v>0.6205435050544672</v>
      </c>
      <c r="D83" s="23">
        <f t="shared" si="42"/>
        <v>0.90488773776270071</v>
      </c>
      <c r="E83" s="23">
        <f t="shared" si="42"/>
        <v>0.20327398012747969</v>
      </c>
      <c r="F83" s="23">
        <f t="shared" si="42"/>
        <v>6.7588779038524713E-2</v>
      </c>
      <c r="G83" s="23">
        <f t="shared" si="42"/>
        <v>0.82769756710584552</v>
      </c>
      <c r="H83" s="23">
        <f t="shared" si="42"/>
        <v>0.35157512265711616</v>
      </c>
      <c r="I83" s="23">
        <f t="shared" si="42"/>
        <v>0.52020148970217572</v>
      </c>
      <c r="J83" s="23">
        <f t="shared" si="42"/>
        <v>0.20369543738680201</v>
      </c>
      <c r="K83" s="23">
        <f t="shared" si="42"/>
        <v>0</v>
      </c>
      <c r="L83" s="23">
        <f t="shared" si="42"/>
        <v>0.70146494880899946</v>
      </c>
      <c r="M83" s="23">
        <f t="shared" si="42"/>
        <v>0</v>
      </c>
      <c r="N83" s="23">
        <f t="shared" si="42"/>
        <v>0.21634536847565858</v>
      </c>
      <c r="O83" s="23">
        <f t="shared" si="42"/>
        <v>0</v>
      </c>
      <c r="P83" s="26"/>
      <c r="Q83" s="7">
        <f t="shared" ref="Q83:R86" si="43">IFERROR(Q52/(8.76*Q22),0)</f>
        <v>0.57073122663346065</v>
      </c>
      <c r="R83" s="7">
        <f t="shared" si="43"/>
        <v>0.70146494880899946</v>
      </c>
      <c r="S83" s="5"/>
      <c r="T83" s="5"/>
    </row>
    <row r="84" spans="1:58" x14ac:dyDescent="0.3">
      <c r="B84" s="3">
        <v>2030</v>
      </c>
      <c r="C84" s="23">
        <f t="shared" ref="C84:O84" si="44">IFERROR(C53/(8.76*C23),0)</f>
        <v>0.71387858297961582</v>
      </c>
      <c r="D84" s="23">
        <f t="shared" si="44"/>
        <v>0.89667947589523311</v>
      </c>
      <c r="E84" s="23">
        <f t="shared" si="44"/>
        <v>0.3504232461117458</v>
      </c>
      <c r="F84" s="23">
        <f t="shared" si="44"/>
        <v>3.37709165459684E-2</v>
      </c>
      <c r="G84" s="23">
        <f t="shared" si="44"/>
        <v>0.66877185867870481</v>
      </c>
      <c r="H84" s="23">
        <f t="shared" si="44"/>
        <v>0.36592404603831252</v>
      </c>
      <c r="I84" s="23">
        <f t="shared" si="44"/>
        <v>0.54935434567812091</v>
      </c>
      <c r="J84" s="23">
        <f t="shared" si="44"/>
        <v>0.20259562061892208</v>
      </c>
      <c r="K84" s="23">
        <f t="shared" si="44"/>
        <v>0.8323417609504139</v>
      </c>
      <c r="L84" s="23">
        <f t="shared" si="44"/>
        <v>0.71676315901184073</v>
      </c>
      <c r="M84" s="23">
        <f t="shared" si="44"/>
        <v>0</v>
      </c>
      <c r="N84" s="23">
        <f t="shared" si="44"/>
        <v>0.19393976200830412</v>
      </c>
      <c r="O84" s="23">
        <f t="shared" si="44"/>
        <v>0</v>
      </c>
      <c r="P84" s="26"/>
      <c r="Q84" s="7">
        <f t="shared" si="43"/>
        <v>0.38703293863930993</v>
      </c>
      <c r="R84" s="7">
        <f t="shared" si="43"/>
        <v>0.76540248732765692</v>
      </c>
      <c r="S84" s="5"/>
      <c r="T84" s="5"/>
    </row>
    <row r="85" spans="1:58" x14ac:dyDescent="0.3">
      <c r="B85" s="3">
        <v>2040</v>
      </c>
      <c r="C85" s="23">
        <f t="shared" ref="C85:O85" si="45">IFERROR(C54/(8.76*C24),0)</f>
        <v>0.78428349180865353</v>
      </c>
      <c r="D85" s="23">
        <f t="shared" si="45"/>
        <v>0.90079682009939988</v>
      </c>
      <c r="E85" s="23">
        <f t="shared" si="45"/>
        <v>0.36167908538011351</v>
      </c>
      <c r="F85" s="23">
        <f t="shared" si="45"/>
        <v>2.9641404961460876E-2</v>
      </c>
      <c r="G85" s="23">
        <f t="shared" si="45"/>
        <v>0.68993462297026797</v>
      </c>
      <c r="H85" s="23">
        <f t="shared" si="45"/>
        <v>0.35141046110534857</v>
      </c>
      <c r="I85" s="23">
        <f t="shared" si="45"/>
        <v>0.5510423462481473</v>
      </c>
      <c r="J85" s="23">
        <f t="shared" si="45"/>
        <v>0.20401269153551166</v>
      </c>
      <c r="K85" s="23">
        <f t="shared" si="45"/>
        <v>0.8222160843945262</v>
      </c>
      <c r="L85" s="23">
        <f t="shared" si="45"/>
        <v>0.72523658657670342</v>
      </c>
      <c r="M85" s="23">
        <f t="shared" si="45"/>
        <v>0</v>
      </c>
      <c r="N85" s="23">
        <f t="shared" si="45"/>
        <v>0.19027976959490792</v>
      </c>
      <c r="O85" s="23">
        <f t="shared" si="45"/>
        <v>0</v>
      </c>
      <c r="P85" s="26"/>
      <c r="Q85" s="7">
        <f t="shared" si="43"/>
        <v>0.48647371204003281</v>
      </c>
      <c r="R85" s="7">
        <f t="shared" si="43"/>
        <v>0.76643615254620612</v>
      </c>
      <c r="S85" s="5"/>
      <c r="T85" s="5"/>
    </row>
    <row r="86" spans="1:58" x14ac:dyDescent="0.3">
      <c r="B86" s="3">
        <v>2050</v>
      </c>
      <c r="C86" s="23">
        <f t="shared" ref="C86:O86" si="46">IFERROR(C55/(8.76*C25),0)</f>
        <v>0.80989135775531296</v>
      </c>
      <c r="D86" s="23">
        <f t="shared" si="46"/>
        <v>0</v>
      </c>
      <c r="E86" s="23">
        <f t="shared" si="46"/>
        <v>0.33033199313004658</v>
      </c>
      <c r="F86" s="23">
        <f t="shared" si="46"/>
        <v>2.5255214254541639E-2</v>
      </c>
      <c r="G86" s="23">
        <f t="shared" si="46"/>
        <v>0.69193458788793449</v>
      </c>
      <c r="H86" s="23">
        <f t="shared" si="46"/>
        <v>0.34809217223926353</v>
      </c>
      <c r="I86" s="23">
        <f t="shared" si="46"/>
        <v>0</v>
      </c>
      <c r="J86" s="23">
        <f t="shared" si="46"/>
        <v>0.20252695281453983</v>
      </c>
      <c r="K86" s="23">
        <f t="shared" si="46"/>
        <v>0.82048504783971798</v>
      </c>
      <c r="L86" s="23">
        <f t="shared" si="46"/>
        <v>0.69394476703393937</v>
      </c>
      <c r="M86" s="23">
        <f t="shared" si="46"/>
        <v>0</v>
      </c>
      <c r="N86" s="23">
        <f t="shared" si="46"/>
        <v>0.18766334544459196</v>
      </c>
      <c r="O86" s="23">
        <f t="shared" si="46"/>
        <v>0</v>
      </c>
      <c r="P86" s="26"/>
      <c r="Q86" s="7">
        <f t="shared" si="43"/>
        <v>0.48659386988961012</v>
      </c>
      <c r="R86" s="7">
        <f t="shared" si="43"/>
        <v>0.7561177373720388</v>
      </c>
      <c r="S86" s="5"/>
      <c r="T86" s="5"/>
    </row>
    <row r="87" spans="1:58" s="11" customFormat="1" x14ac:dyDescent="0.3">
      <c r="C87" s="12"/>
      <c r="D87" s="12"/>
      <c r="E87" s="14"/>
      <c r="F87" s="14"/>
      <c r="G87" s="14"/>
      <c r="H87" s="16"/>
      <c r="I87" s="14"/>
      <c r="J87" s="14"/>
      <c r="K87" s="16"/>
      <c r="L87" s="14"/>
      <c r="M87" s="16"/>
      <c r="N87" s="20"/>
      <c r="O87" s="20"/>
      <c r="P87" s="20"/>
    </row>
    <row r="88" spans="1:58" s="9" customFormat="1" ht="21" x14ac:dyDescent="0.4">
      <c r="B88" s="10" t="s">
        <v>57</v>
      </c>
    </row>
    <row r="89" spans="1:58" ht="28.8" x14ac:dyDescent="0.3">
      <c r="B89" s="43" t="s">
        <v>56</v>
      </c>
      <c r="C89" s="43" t="s">
        <v>0</v>
      </c>
      <c r="D89" s="43" t="s">
        <v>1</v>
      </c>
      <c r="E89" s="43" t="s">
        <v>28</v>
      </c>
      <c r="F89" s="2" t="s">
        <v>29</v>
      </c>
      <c r="G89" s="2" t="s">
        <v>6</v>
      </c>
      <c r="H89" s="43" t="s">
        <v>2</v>
      </c>
      <c r="I89" s="43" t="s">
        <v>3</v>
      </c>
      <c r="J89" s="43" t="s">
        <v>4</v>
      </c>
      <c r="K89" s="43" t="s">
        <v>9</v>
      </c>
      <c r="L89" s="43" t="s">
        <v>8</v>
      </c>
      <c r="M89" s="43" t="s">
        <v>25</v>
      </c>
      <c r="N89" s="43" t="s">
        <v>7</v>
      </c>
      <c r="O89" s="43" t="s">
        <v>89</v>
      </c>
      <c r="P89" s="25"/>
      <c r="Q89" s="43"/>
      <c r="R89" s="43"/>
      <c r="T89" s="43"/>
      <c r="U89" s="25"/>
      <c r="V89" s="25"/>
      <c r="W89" s="25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</row>
    <row r="90" spans="1:58" x14ac:dyDescent="0.3">
      <c r="A90" s="15"/>
      <c r="B90" s="3">
        <v>2016</v>
      </c>
      <c r="C90" s="80">
        <f>Y90*(Inputs_Summary!$L72/$Y52)</f>
        <v>237361.23967653932</v>
      </c>
      <c r="D90" s="80">
        <f>Z90*(Inputs_Summary!$L72/$Y52)</f>
        <v>14483.908918227477</v>
      </c>
      <c r="E90" s="80">
        <f>AA90*(Inputs_Summary!$L72/$Y52)</f>
        <v>2953.3918178067293</v>
      </c>
      <c r="F90" s="80">
        <f>AB90*(Inputs_Summary!$L72/$Y52)</f>
        <v>26109.111840910784</v>
      </c>
      <c r="G90" s="80">
        <f>AC90*(Inputs_Summary!$L72/$Y52)</f>
        <v>17279.155266936097</v>
      </c>
      <c r="H90" s="44">
        <f>AD90*(Inputs_Summary!$L72/$Y52)</f>
        <v>4573.4046786099279</v>
      </c>
      <c r="I90" s="80">
        <f>AE90*(Inputs_Summary!$L72/$Y52)</f>
        <v>922.30319981359185</v>
      </c>
      <c r="J90" s="44">
        <f>AF90*(Inputs_Summary!$L72/$Y52)</f>
        <v>2684.1837758456386</v>
      </c>
      <c r="K90" s="80">
        <f>AG90*(Inputs_Summary!$L72/$Y52)</f>
        <v>0</v>
      </c>
      <c r="L90" s="80">
        <f>AH90*(Inputs_Summary!$L72/$Y52)</f>
        <v>1875.5851175839462</v>
      </c>
      <c r="M90" s="80">
        <f>AI90*(Inputs_Summary!$L72/$Y52)</f>
        <v>0</v>
      </c>
      <c r="N90" s="80">
        <f>AJ90*(Inputs_Summary!$L72/$Y52)</f>
        <v>12224.544031685698</v>
      </c>
      <c r="O90" s="80" t="e">
        <f>AK90*(Inputs_Summary!#REF!/$Y52)</f>
        <v>#REF!</v>
      </c>
      <c r="P90" s="83"/>
      <c r="Q90" s="39"/>
      <c r="R90" s="5"/>
      <c r="T90" s="5"/>
      <c r="U90" s="24"/>
      <c r="V90" s="24"/>
      <c r="W90" s="26"/>
      <c r="X90" s="39"/>
      <c r="Y90" s="82">
        <v>235642</v>
      </c>
      <c r="Z90" s="39">
        <v>14379</v>
      </c>
      <c r="AA90" s="39">
        <v>2932</v>
      </c>
      <c r="AB90" s="39">
        <v>25920</v>
      </c>
      <c r="AC90" s="39">
        <v>17154</v>
      </c>
      <c r="AD90" s="39">
        <v>4540.2788877644989</v>
      </c>
      <c r="AE90" s="39">
        <v>915.6228325511039</v>
      </c>
      <c r="AF90" s="39">
        <v>2664.7418684270319</v>
      </c>
      <c r="AG90" s="39">
        <v>0</v>
      </c>
      <c r="AH90" s="39">
        <v>1862</v>
      </c>
      <c r="AI90" s="39">
        <v>0</v>
      </c>
      <c r="AJ90" s="39">
        <v>12136</v>
      </c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</row>
    <row r="91" spans="1:58" x14ac:dyDescent="0.3">
      <c r="A91" s="15"/>
      <c r="B91" s="3">
        <v>2030</v>
      </c>
      <c r="C91" s="80">
        <f>Y91*(Inputs_Summary!$L73/$Y53)</f>
        <v>224465.10578687018</v>
      </c>
      <c r="D91" s="80">
        <f>Z91*(Inputs_Summary!$L73/$Y53)</f>
        <v>14666.235390306705</v>
      </c>
      <c r="E91" s="80">
        <f>AA91*(Inputs_Summary!$L73/$Y53)</f>
        <v>42780.854786538293</v>
      </c>
      <c r="F91" s="80">
        <f>AB91*(Inputs_Summary!$L73/$Y53)</f>
        <v>68808.603217572891</v>
      </c>
      <c r="G91" s="80">
        <f>AC91*(Inputs_Summary!$L73/$Y53)</f>
        <v>17763.902605019932</v>
      </c>
      <c r="H91" s="44">
        <f>AD91*(Inputs_Summary!$L73/$Y53)</f>
        <v>35608.38331671169</v>
      </c>
      <c r="I91" s="80">
        <f>AE91*(Inputs_Summary!$L73/$Y53)</f>
        <v>5053.9812475811759</v>
      </c>
      <c r="J91" s="44">
        <f>AF91*(Inputs_Summary!$L73/$Y53)</f>
        <v>12265.211806692965</v>
      </c>
      <c r="K91" s="80">
        <f>AG91*(Inputs_Summary!$L73/$Y53)</f>
        <v>2264.3467950817781</v>
      </c>
      <c r="L91" s="80">
        <f>AH91*(Inputs_Summary!$L73/$Y53)</f>
        <v>3067.0679336986068</v>
      </c>
      <c r="M91" s="80">
        <f>AI91*(Inputs_Summary!$L73/$Y53)</f>
        <v>0</v>
      </c>
      <c r="N91" s="80">
        <f>AJ91*(Inputs_Summary!$L73/$Y53)</f>
        <v>25587.118784424092</v>
      </c>
      <c r="O91" s="80" t="e">
        <f>AK91*(Inputs_Summary!#REF!/$Y53)</f>
        <v>#REF!</v>
      </c>
      <c r="P91" s="83"/>
      <c r="Q91" s="39"/>
      <c r="R91" s="5"/>
      <c r="T91" s="5"/>
      <c r="U91" s="24"/>
      <c r="V91" s="24"/>
      <c r="W91" s="26"/>
      <c r="X91" s="39"/>
      <c r="Y91" s="82">
        <v>220069</v>
      </c>
      <c r="Z91" s="82">
        <v>14379</v>
      </c>
      <c r="AA91" s="82">
        <v>41943</v>
      </c>
      <c r="AB91" s="82">
        <v>67461</v>
      </c>
      <c r="AC91" s="82">
        <v>17416</v>
      </c>
      <c r="AD91" s="82">
        <v>34911</v>
      </c>
      <c r="AE91" s="82">
        <v>4955</v>
      </c>
      <c r="AF91" s="82">
        <v>12025</v>
      </c>
      <c r="AG91" s="82">
        <v>2220</v>
      </c>
      <c r="AH91" s="82">
        <v>3007</v>
      </c>
      <c r="AI91" s="82">
        <v>0</v>
      </c>
      <c r="AJ91" s="82">
        <v>25086</v>
      </c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</row>
    <row r="92" spans="1:58" x14ac:dyDescent="0.3">
      <c r="A92" s="15"/>
      <c r="B92" s="3">
        <v>2040</v>
      </c>
      <c r="C92" s="80">
        <f>Y92*(Inputs_Summary!$L74/$Y54)</f>
        <v>193027.32594401296</v>
      </c>
      <c r="D92" s="80">
        <f>Z92*(Inputs_Summary!$L74/$Y54)</f>
        <v>14753.546636439993</v>
      </c>
      <c r="E92" s="80">
        <f>AA92*(Inputs_Summary!$L74/$Y54)</f>
        <v>71398.689787239651</v>
      </c>
      <c r="F92" s="80">
        <f>AB92*(Inputs_Summary!$L74/$Y54)</f>
        <v>96097.398246609693</v>
      </c>
      <c r="G92" s="80">
        <f>AC92*(Inputs_Summary!$L74/$Y54)</f>
        <v>38123.62244997175</v>
      </c>
      <c r="H92" s="44">
        <f>AD92*(Inputs_Summary!$L74/$Y54)</f>
        <v>65648.311457632721</v>
      </c>
      <c r="I92" s="80">
        <f>AE92*(Inputs_Summary!$L74/$Y54)</f>
        <v>5067.4832433106121</v>
      </c>
      <c r="J92" s="44">
        <f>AF92*(Inputs_Summary!$L74/$Y54)</f>
        <v>22103.707131444029</v>
      </c>
      <c r="K92" s="80">
        <f>AG92*(Inputs_Summary!$L74/$Y54)</f>
        <v>2311.8007186090031</v>
      </c>
      <c r="L92" s="80">
        <f>AH92*(Inputs_Summary!$L74/$Y54)</f>
        <v>3064.993828494647</v>
      </c>
      <c r="M92" s="80">
        <f>AI92*(Inputs_Summary!$L74/$Y54)</f>
        <v>0</v>
      </c>
      <c r="N92" s="80">
        <f>AJ92*(Inputs_Summary!$L74/$Y54)</f>
        <v>25617.604053430521</v>
      </c>
      <c r="O92" s="80" t="e">
        <f>AK92*(Inputs_Summary!#REF!/$Y54)</f>
        <v>#REF!</v>
      </c>
      <c r="P92" s="83"/>
      <c r="Q92" s="39"/>
      <c r="R92" s="5"/>
      <c r="T92" s="5"/>
      <c r="U92" s="24"/>
      <c r="V92" s="24"/>
      <c r="W92" s="26"/>
      <c r="X92" s="39"/>
      <c r="Y92" s="82">
        <v>192209</v>
      </c>
      <c r="Z92" s="82">
        <v>14691</v>
      </c>
      <c r="AA92" s="82">
        <v>71096</v>
      </c>
      <c r="AB92" s="82">
        <v>95690</v>
      </c>
      <c r="AC92" s="82">
        <v>37962</v>
      </c>
      <c r="AD92" s="82">
        <v>65370</v>
      </c>
      <c r="AE92" s="82">
        <v>5046</v>
      </c>
      <c r="AF92" s="82">
        <v>22010</v>
      </c>
      <c r="AG92" s="82">
        <v>2302</v>
      </c>
      <c r="AH92" s="82">
        <v>3052</v>
      </c>
      <c r="AI92" s="82">
        <v>0</v>
      </c>
      <c r="AJ92" s="82">
        <v>25509</v>
      </c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</row>
    <row r="93" spans="1:58" x14ac:dyDescent="0.3">
      <c r="A93" s="15"/>
      <c r="B93" s="3">
        <v>2050</v>
      </c>
      <c r="C93" s="80">
        <f>Y93*(Inputs_Summary!$L75/$Y55)</f>
        <v>212178.34387741247</v>
      </c>
      <c r="D93" s="80">
        <f>Z93*(Inputs_Summary!$L75/$Y55)</f>
        <v>0</v>
      </c>
      <c r="E93" s="80">
        <f>AA93*(Inputs_Summary!$L75/$Y55)</f>
        <v>88766.112812420222</v>
      </c>
      <c r="F93" s="80">
        <f>AB93*(Inputs_Summary!$L75/$Y55)</f>
        <v>114884.26892792208</v>
      </c>
      <c r="G93" s="80">
        <f>AC93*(Inputs_Summary!$L75/$Y55)</f>
        <v>38123.450785074252</v>
      </c>
      <c r="H93" s="44">
        <f>AD93*(Inputs_Summary!$L75/$Y55)</f>
        <v>93094.206245470268</v>
      </c>
      <c r="I93" s="80">
        <f>AE93*(Inputs_Summary!$L75/$Y55)</f>
        <v>0</v>
      </c>
      <c r="J93" s="44">
        <f>AF93*(Inputs_Summary!$L75/$Y55)</f>
        <v>28104.62175888622</v>
      </c>
      <c r="K93" s="80">
        <f>AG93*(Inputs_Summary!$L75/$Y55)</f>
        <v>1898.9471775385337</v>
      </c>
      <c r="L93" s="80">
        <f>AH93*(Inputs_Summary!$L75/$Y55)</f>
        <v>1860.2762275136333</v>
      </c>
      <c r="M93" s="80">
        <f>AI93*(Inputs_Summary!$L75/$Y55)</f>
        <v>0</v>
      </c>
      <c r="N93" s="80">
        <f>AJ93*(Inputs_Summary!$L75/$Y55)</f>
        <v>25652.069402043846</v>
      </c>
      <c r="O93" s="80" t="e">
        <f>AK93*(Inputs_Summary!#REF!/$Y55)</f>
        <v>#REF!</v>
      </c>
      <c r="P93" s="83"/>
      <c r="Q93" s="39"/>
      <c r="R93" s="5"/>
      <c r="T93" s="5"/>
      <c r="U93" s="24"/>
      <c r="V93" s="24"/>
      <c r="W93" s="26"/>
      <c r="X93" s="39"/>
      <c r="Y93" s="82">
        <v>208497</v>
      </c>
      <c r="Z93" s="82">
        <v>0</v>
      </c>
      <c r="AA93" s="82">
        <v>87226</v>
      </c>
      <c r="AB93" s="82">
        <v>112891</v>
      </c>
      <c r="AC93" s="82">
        <v>37462</v>
      </c>
      <c r="AD93" s="82">
        <v>91479</v>
      </c>
      <c r="AE93" s="82">
        <v>0</v>
      </c>
      <c r="AF93" s="82">
        <v>27617</v>
      </c>
      <c r="AG93" s="82">
        <v>1866</v>
      </c>
      <c r="AH93" s="82">
        <v>1828</v>
      </c>
      <c r="AI93" s="82">
        <v>0</v>
      </c>
      <c r="AJ93" s="82">
        <v>25207</v>
      </c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</row>
    <row r="94" spans="1:58" s="11" customFormat="1" x14ac:dyDescent="0.3">
      <c r="A94" s="20"/>
      <c r="C94" s="83"/>
      <c r="D94" s="83"/>
      <c r="E94" s="83"/>
      <c r="F94" s="83"/>
      <c r="G94" s="83"/>
      <c r="H94" s="56"/>
      <c r="I94" s="83"/>
      <c r="J94" s="56"/>
      <c r="K94" s="83"/>
      <c r="L94" s="83"/>
      <c r="M94" s="83"/>
      <c r="N94" s="83"/>
      <c r="O94" s="83"/>
      <c r="P94" s="83"/>
      <c r="Q94" s="12"/>
      <c r="R94" s="57"/>
      <c r="T94" s="57"/>
      <c r="U94" s="24"/>
      <c r="V94" s="24"/>
      <c r="W94" s="26"/>
      <c r="X94" s="1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</row>
    <row r="95" spans="1:58" ht="28.8" x14ac:dyDescent="0.3">
      <c r="B95" s="43" t="s">
        <v>54</v>
      </c>
      <c r="C95" s="43" t="s">
        <v>0</v>
      </c>
      <c r="D95" s="43" t="s">
        <v>1</v>
      </c>
      <c r="E95" s="43" t="s">
        <v>28</v>
      </c>
      <c r="F95" s="2" t="s">
        <v>29</v>
      </c>
      <c r="G95" s="2" t="s">
        <v>6</v>
      </c>
      <c r="H95" s="43" t="s">
        <v>2</v>
      </c>
      <c r="I95" s="43" t="s">
        <v>3</v>
      </c>
      <c r="J95" s="43" t="s">
        <v>4</v>
      </c>
      <c r="K95" s="43" t="s">
        <v>9</v>
      </c>
      <c r="L95" s="43" t="s">
        <v>8</v>
      </c>
      <c r="M95" s="43" t="s">
        <v>25</v>
      </c>
      <c r="N95" s="43" t="s">
        <v>7</v>
      </c>
      <c r="O95" s="43" t="s">
        <v>89</v>
      </c>
      <c r="P95" s="25"/>
      <c r="Q95" s="43"/>
      <c r="R95" s="43"/>
      <c r="T95" s="43"/>
      <c r="U95" s="25"/>
      <c r="V95" s="25"/>
      <c r="W95" s="25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</row>
    <row r="96" spans="1:58" x14ac:dyDescent="0.3">
      <c r="A96" s="15"/>
      <c r="B96" s="3">
        <v>2016</v>
      </c>
      <c r="C96" s="80">
        <f t="shared" ref="C96:O99" si="47">C90-C52</f>
        <v>37415.718339017825</v>
      </c>
      <c r="D96" s="80">
        <f t="shared" si="47"/>
        <v>-259.96992578286336</v>
      </c>
      <c r="E96" s="80">
        <f t="shared" si="47"/>
        <v>2197.3150618184891</v>
      </c>
      <c r="F96" s="80">
        <f t="shared" si="47"/>
        <v>24084.798169644193</v>
      </c>
      <c r="G96" s="80">
        <f t="shared" si="47"/>
        <v>1480.0309981170321</v>
      </c>
      <c r="H96" s="50">
        <f t="shared" si="47"/>
        <v>76.899489874474966</v>
      </c>
      <c r="I96" s="80">
        <f t="shared" si="47"/>
        <v>10.91018985537994</v>
      </c>
      <c r="J96" s="50">
        <f t="shared" si="47"/>
        <v>45.097541244736476</v>
      </c>
      <c r="K96" s="80">
        <f t="shared" si="47"/>
        <v>0</v>
      </c>
      <c r="L96" s="80">
        <f t="shared" si="47"/>
        <v>253.34921837030174</v>
      </c>
      <c r="M96" s="80">
        <f t="shared" si="47"/>
        <v>0</v>
      </c>
      <c r="N96" s="80">
        <f t="shared" si="47"/>
        <v>9230.1510556878038</v>
      </c>
      <c r="O96" s="80" t="e">
        <f t="shared" si="47"/>
        <v>#REF!</v>
      </c>
      <c r="P96" s="83"/>
      <c r="Q96" s="39"/>
      <c r="R96" s="5"/>
      <c r="T96" s="5"/>
      <c r="U96" s="24"/>
      <c r="V96" s="24"/>
      <c r="W96" s="26"/>
      <c r="X96" s="39"/>
      <c r="Y96" s="82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</row>
    <row r="97" spans="1:58" x14ac:dyDescent="0.3">
      <c r="A97" s="15"/>
      <c r="B97" s="3">
        <v>2030</v>
      </c>
      <c r="C97" s="80">
        <f t="shared" ref="C97:N97" si="48">C91-C53</f>
        <v>20498.458351693</v>
      </c>
      <c r="D97" s="80">
        <f t="shared" si="48"/>
        <v>56.098681860134093</v>
      </c>
      <c r="E97" s="80">
        <f t="shared" si="48"/>
        <v>25748.274997767749</v>
      </c>
      <c r="F97" s="80">
        <f t="shared" si="48"/>
        <v>66180.124978417152</v>
      </c>
      <c r="G97" s="80">
        <f t="shared" si="48"/>
        <v>4734.7287489953233</v>
      </c>
      <c r="H97" s="50">
        <f t="shared" si="48"/>
        <v>8.1598082705604611</v>
      </c>
      <c r="I97" s="80">
        <f t="shared" si="48"/>
        <v>1.0199760338200576</v>
      </c>
      <c r="J97" s="50">
        <f t="shared" si="48"/>
        <v>0</v>
      </c>
      <c r="K97" s="80">
        <f t="shared" si="48"/>
        <v>55.07870582631358</v>
      </c>
      <c r="L97" s="80">
        <f t="shared" si="48"/>
        <v>448.78945488107365</v>
      </c>
      <c r="M97" s="80">
        <f t="shared" si="48"/>
        <v>0</v>
      </c>
      <c r="N97" s="80">
        <f t="shared" si="48"/>
        <v>20074.148321623637</v>
      </c>
      <c r="O97" s="80" t="e">
        <f t="shared" si="47"/>
        <v>#REF!</v>
      </c>
      <c r="P97" s="83"/>
      <c r="Q97" s="39"/>
      <c r="R97" s="5"/>
      <c r="T97" s="5"/>
      <c r="U97" s="24"/>
      <c r="V97" s="24"/>
      <c r="W97" s="26"/>
      <c r="X97" s="39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</row>
    <row r="98" spans="1:58" x14ac:dyDescent="0.3">
      <c r="A98" s="15"/>
      <c r="B98" s="3">
        <v>2040</v>
      </c>
      <c r="C98" s="80">
        <f t="shared" ref="C98:N98" si="49">C92-C54</f>
        <v>13052.334465578257</v>
      </c>
      <c r="D98" s="80">
        <f t="shared" si="49"/>
        <v>76.323568468411395</v>
      </c>
      <c r="E98" s="80">
        <f t="shared" si="49"/>
        <v>42223.001482709347</v>
      </c>
      <c r="F98" s="80">
        <f t="shared" si="49"/>
        <v>92888.795598496858</v>
      </c>
      <c r="G98" s="80">
        <f t="shared" si="49"/>
        <v>9572.582297906607</v>
      </c>
      <c r="H98" s="50">
        <f t="shared" si="49"/>
        <v>79.336340907946578</v>
      </c>
      <c r="I98" s="80">
        <f t="shared" si="49"/>
        <v>-1.0042574798471833</v>
      </c>
      <c r="J98" s="50">
        <f t="shared" si="49"/>
        <v>2.0085149596961855</v>
      </c>
      <c r="K98" s="80">
        <f t="shared" si="49"/>
        <v>93.395945625819877</v>
      </c>
      <c r="L98" s="80">
        <f t="shared" si="49"/>
        <v>415.7625966568753</v>
      </c>
      <c r="M98" s="80">
        <f t="shared" si="49"/>
        <v>0</v>
      </c>
      <c r="N98" s="80">
        <f t="shared" si="49"/>
        <v>20208.673266971749</v>
      </c>
      <c r="O98" s="80" t="e">
        <f t="shared" si="47"/>
        <v>#REF!</v>
      </c>
      <c r="P98" s="83"/>
      <c r="Q98" s="39"/>
      <c r="R98" s="5"/>
      <c r="T98" s="5"/>
      <c r="U98" s="24"/>
      <c r="V98" s="24"/>
      <c r="W98" s="26"/>
      <c r="X98" s="39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</row>
    <row r="99" spans="1:58" x14ac:dyDescent="0.3">
      <c r="A99" s="15"/>
      <c r="B99" s="3">
        <v>2050</v>
      </c>
      <c r="C99" s="80">
        <f t="shared" ref="C99:N99" si="50">C93-C55</f>
        <v>17387.680319090781</v>
      </c>
      <c r="D99" s="80">
        <f t="shared" si="50"/>
        <v>0</v>
      </c>
      <c r="E99" s="80">
        <f t="shared" si="50"/>
        <v>55764.527592486083</v>
      </c>
      <c r="F99" s="80">
        <f t="shared" si="50"/>
        <v>111613.52068107919</v>
      </c>
      <c r="G99" s="80">
        <f t="shared" si="50"/>
        <v>9489.6476047946562</v>
      </c>
      <c r="H99" s="50">
        <f t="shared" si="50"/>
        <v>395.86840946543089</v>
      </c>
      <c r="I99" s="80">
        <f t="shared" si="50"/>
        <v>0</v>
      </c>
      <c r="J99" s="50">
        <f t="shared" si="50"/>
        <v>73.271273731392284</v>
      </c>
      <c r="K99" s="80">
        <f t="shared" si="50"/>
        <v>66.147677674171746</v>
      </c>
      <c r="L99" s="80">
        <f t="shared" si="50"/>
        <v>255.43180148026386</v>
      </c>
      <c r="M99" s="80">
        <f t="shared" si="50"/>
        <v>0</v>
      </c>
      <c r="N99" s="80">
        <f t="shared" si="50"/>
        <v>20317.513611766786</v>
      </c>
      <c r="O99" s="80" t="e">
        <f t="shared" si="47"/>
        <v>#REF!</v>
      </c>
      <c r="P99" s="83"/>
      <c r="Q99" s="39"/>
      <c r="R99" s="5"/>
      <c r="T99" s="5"/>
      <c r="U99" s="24"/>
      <c r="V99" s="24"/>
      <c r="W99" s="26"/>
      <c r="X99" s="39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</row>
    <row r="100" spans="1:58" s="11" customFormat="1" x14ac:dyDescent="0.3">
      <c r="A100" s="20"/>
      <c r="C100" s="83"/>
      <c r="D100" s="83"/>
      <c r="E100" s="83"/>
      <c r="F100" s="83"/>
      <c r="G100" s="83"/>
      <c r="H100" s="56"/>
      <c r="I100" s="83"/>
      <c r="J100" s="56"/>
      <c r="K100" s="83"/>
      <c r="L100" s="83"/>
      <c r="M100" s="83"/>
      <c r="N100" s="83"/>
      <c r="O100" s="83"/>
      <c r="P100" s="83"/>
      <c r="Q100" s="12"/>
      <c r="R100" s="57"/>
      <c r="T100" s="57"/>
      <c r="U100" s="24"/>
      <c r="V100" s="24"/>
      <c r="W100" s="26"/>
      <c r="X100" s="1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</row>
    <row r="101" spans="1:58" s="11" customFormat="1" ht="28.8" x14ac:dyDescent="0.3">
      <c r="A101" s="20"/>
      <c r="B101" s="43" t="s">
        <v>55</v>
      </c>
      <c r="C101" s="43" t="s">
        <v>0</v>
      </c>
      <c r="D101" s="43" t="s">
        <v>1</v>
      </c>
      <c r="E101" s="43" t="s">
        <v>28</v>
      </c>
      <c r="F101" s="2" t="s">
        <v>29</v>
      </c>
      <c r="G101" s="2" t="s">
        <v>6</v>
      </c>
      <c r="H101" s="43" t="s">
        <v>2</v>
      </c>
      <c r="I101" s="43" t="s">
        <v>3</v>
      </c>
      <c r="J101" s="43" t="s">
        <v>4</v>
      </c>
      <c r="K101" s="43" t="s">
        <v>9</v>
      </c>
      <c r="L101" s="43" t="s">
        <v>8</v>
      </c>
      <c r="M101" s="43" t="s">
        <v>25</v>
      </c>
      <c r="N101" s="43" t="s">
        <v>7</v>
      </c>
      <c r="O101" s="43" t="s">
        <v>89</v>
      </c>
      <c r="P101" s="25"/>
      <c r="Q101" s="12"/>
      <c r="R101" s="57"/>
      <c r="T101" s="57"/>
      <c r="U101" s="24"/>
      <c r="V101" s="24"/>
      <c r="W101" s="26"/>
      <c r="Y101" s="14"/>
    </row>
    <row r="102" spans="1:58" x14ac:dyDescent="0.3">
      <c r="B102" s="3">
        <v>2016</v>
      </c>
      <c r="C102" s="81">
        <f>IFERROR(C96/C90,"")</f>
        <v>0.15763196379495475</v>
      </c>
      <c r="D102" s="81">
        <f t="shared" ref="D102:O105" si="51">IFERROR(D96/D90,"")</f>
        <v>-1.7948878804098289E-2</v>
      </c>
      <c r="E102" s="81">
        <f t="shared" si="51"/>
        <v>0.74399713866962502</v>
      </c>
      <c r="F102" s="81">
        <f t="shared" si="51"/>
        <v>0.92246715692202663</v>
      </c>
      <c r="G102" s="81">
        <f t="shared" si="51"/>
        <v>8.5654129224076822E-2</v>
      </c>
      <c r="H102" s="23">
        <f t="shared" si="51"/>
        <v>1.681449495036777E-2</v>
      </c>
      <c r="I102" s="81">
        <f t="shared" si="51"/>
        <v>1.1829287654629211E-2</v>
      </c>
      <c r="J102" s="23">
        <f t="shared" si="51"/>
        <v>1.6801212216003624E-2</v>
      </c>
      <c r="K102" s="81" t="str">
        <f t="shared" si="51"/>
        <v/>
      </c>
      <c r="L102" s="81">
        <f t="shared" si="51"/>
        <v>0.1350774305016112</v>
      </c>
      <c r="M102" s="81" t="str">
        <f t="shared" si="51"/>
        <v/>
      </c>
      <c r="N102" s="81">
        <f t="shared" si="51"/>
        <v>0.75505074314129783</v>
      </c>
      <c r="O102" s="81" t="str">
        <f t="shared" si="51"/>
        <v/>
      </c>
      <c r="P102" s="98"/>
      <c r="Q102" s="7"/>
      <c r="R102" s="7"/>
      <c r="T102" s="8"/>
    </row>
    <row r="103" spans="1:58" x14ac:dyDescent="0.3">
      <c r="B103" s="3">
        <v>2030</v>
      </c>
      <c r="C103" s="81">
        <f t="shared" ref="C103:N105" si="52">IFERROR(C97/C91,"")</f>
        <v>9.1321358301259994E-2</v>
      </c>
      <c r="D103" s="81">
        <f t="shared" si="52"/>
        <v>3.8250226024062837E-3</v>
      </c>
      <c r="E103" s="81">
        <f t="shared" si="52"/>
        <v>0.601864435066638</v>
      </c>
      <c r="F103" s="81">
        <f t="shared" si="52"/>
        <v>0.96180015119847029</v>
      </c>
      <c r="G103" s="81">
        <f t="shared" si="52"/>
        <v>0.26653651814423529</v>
      </c>
      <c r="H103" s="23">
        <f t="shared" si="52"/>
        <v>2.2915413479979328E-4</v>
      </c>
      <c r="I103" s="81">
        <f t="shared" si="52"/>
        <v>2.0181634712400563E-4</v>
      </c>
      <c r="J103" s="23">
        <f t="shared" si="52"/>
        <v>0</v>
      </c>
      <c r="K103" s="81">
        <f t="shared" si="52"/>
        <v>2.432432432432435E-2</v>
      </c>
      <c r="L103" s="81">
        <f t="shared" si="52"/>
        <v>0.14632524110409062</v>
      </c>
      <c r="M103" s="81" t="str">
        <f t="shared" si="52"/>
        <v/>
      </c>
      <c r="N103" s="81">
        <f t="shared" si="52"/>
        <v>0.78454117834648807</v>
      </c>
      <c r="O103" s="81" t="str">
        <f t="shared" si="51"/>
        <v/>
      </c>
      <c r="P103" s="98"/>
      <c r="Q103" s="7"/>
      <c r="R103" s="7"/>
      <c r="T103" s="8"/>
    </row>
    <row r="104" spans="1:58" x14ac:dyDescent="0.3">
      <c r="B104" s="3">
        <v>2040</v>
      </c>
      <c r="C104" s="81">
        <f t="shared" si="52"/>
        <v>6.7619102123209485E-2</v>
      </c>
      <c r="D104" s="81">
        <f t="shared" si="52"/>
        <v>5.173235314137872E-3</v>
      </c>
      <c r="E104" s="81">
        <f t="shared" si="52"/>
        <v>0.59136941600090021</v>
      </c>
      <c r="F104" s="81">
        <f t="shared" si="52"/>
        <v>0.96661093113177976</v>
      </c>
      <c r="G104" s="81">
        <f t="shared" si="52"/>
        <v>0.25109319846161943</v>
      </c>
      <c r="H104" s="23">
        <f t="shared" si="52"/>
        <v>1.2085054306255488E-3</v>
      </c>
      <c r="I104" s="81">
        <f t="shared" si="52"/>
        <v>-1.9817677368205697E-4</v>
      </c>
      <c r="J104" s="23">
        <f t="shared" si="52"/>
        <v>9.0867787369428916E-5</v>
      </c>
      <c r="K104" s="81">
        <f t="shared" si="52"/>
        <v>4.0399652476107745E-2</v>
      </c>
      <c r="L104" s="81">
        <f t="shared" si="52"/>
        <v>0.1356487549148099</v>
      </c>
      <c r="M104" s="81" t="str">
        <f t="shared" si="52"/>
        <v/>
      </c>
      <c r="N104" s="81">
        <f t="shared" si="52"/>
        <v>0.78885883413697122</v>
      </c>
      <c r="O104" s="81" t="str">
        <f t="shared" si="51"/>
        <v/>
      </c>
      <c r="P104" s="98"/>
      <c r="Q104" s="7"/>
      <c r="R104" s="7"/>
      <c r="T104" s="8"/>
    </row>
    <row r="105" spans="1:58" x14ac:dyDescent="0.3">
      <c r="B105" s="3">
        <v>2050</v>
      </c>
      <c r="C105" s="81">
        <f t="shared" si="52"/>
        <v>8.1948421320210865E-2</v>
      </c>
      <c r="D105" s="81" t="str">
        <f t="shared" si="52"/>
        <v/>
      </c>
      <c r="E105" s="81">
        <f t="shared" si="52"/>
        <v>0.62821865040240299</v>
      </c>
      <c r="F105" s="81">
        <f t="shared" si="52"/>
        <v>0.97153005996935105</v>
      </c>
      <c r="G105" s="81">
        <f t="shared" si="52"/>
        <v>0.2489189044898831</v>
      </c>
      <c r="H105" s="23">
        <f t="shared" si="52"/>
        <v>4.252342067578377E-3</v>
      </c>
      <c r="I105" s="81" t="str">
        <f t="shared" si="52"/>
        <v/>
      </c>
      <c r="J105" s="23">
        <f t="shared" si="52"/>
        <v>2.6070898359706659E-3</v>
      </c>
      <c r="K105" s="81">
        <f t="shared" si="52"/>
        <v>3.4833869239013875E-2</v>
      </c>
      <c r="L105" s="81">
        <f t="shared" si="52"/>
        <v>0.13730853391684913</v>
      </c>
      <c r="M105" s="81" t="str">
        <f t="shared" si="52"/>
        <v/>
      </c>
      <c r="N105" s="81">
        <f t="shared" si="52"/>
        <v>0.79204189312492557</v>
      </c>
      <c r="O105" s="81" t="str">
        <f t="shared" si="51"/>
        <v/>
      </c>
      <c r="P105" s="98"/>
      <c r="Q105" s="7"/>
      <c r="R105" s="7"/>
      <c r="T105" s="8"/>
    </row>
    <row r="106" spans="1:58" x14ac:dyDescent="0.3"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</row>
    <row r="107" spans="1:58" s="9" customFormat="1" ht="21" x14ac:dyDescent="0.4">
      <c r="B107" s="10" t="s">
        <v>17</v>
      </c>
    </row>
    <row r="108" spans="1:58" s="32" customFormat="1" ht="21" x14ac:dyDescent="0.4">
      <c r="B108" s="31"/>
      <c r="P108" s="58"/>
    </row>
    <row r="109" spans="1:58" ht="28.8" x14ac:dyDescent="0.3">
      <c r="B109" s="43" t="s">
        <v>40</v>
      </c>
      <c r="C109" s="43" t="s">
        <v>0</v>
      </c>
      <c r="D109" s="43" t="s">
        <v>1</v>
      </c>
      <c r="E109" s="43" t="s">
        <v>28</v>
      </c>
      <c r="F109" s="2" t="s">
        <v>29</v>
      </c>
      <c r="G109" s="2" t="s">
        <v>6</v>
      </c>
      <c r="H109" s="43" t="s">
        <v>2</v>
      </c>
      <c r="I109" s="43" t="s">
        <v>3</v>
      </c>
      <c r="J109" s="43" t="s">
        <v>4</v>
      </c>
      <c r="K109" s="43" t="s">
        <v>9</v>
      </c>
      <c r="L109" s="43" t="s">
        <v>8</v>
      </c>
      <c r="M109" s="43" t="s">
        <v>25</v>
      </c>
      <c r="N109" s="43" t="s">
        <v>7</v>
      </c>
      <c r="O109" s="43" t="s">
        <v>89</v>
      </c>
      <c r="P109" s="25"/>
      <c r="Q109" s="43" t="s">
        <v>5</v>
      </c>
      <c r="R109" s="43" t="s">
        <v>91</v>
      </c>
      <c r="T109" s="43" t="s">
        <v>10</v>
      </c>
    </row>
    <row r="110" spans="1:58" x14ac:dyDescent="0.3">
      <c r="B110" s="3">
        <v>2016</v>
      </c>
      <c r="C110" s="51">
        <f>Inputs_Summary!E$5*C34/1000000</f>
        <v>210.12155916232655</v>
      </c>
      <c r="D110" s="51">
        <f>Inputs_Summary!F$5*D34/1000000</f>
        <v>0</v>
      </c>
      <c r="E110" s="51">
        <f>Inputs_Summary!G$5*E34/1000000</f>
        <v>0.27748016944768411</v>
      </c>
      <c r="F110" s="51">
        <f>Inputs_Summary!H$5*F34/1000000</f>
        <v>1.1619560473070238</v>
      </c>
      <c r="G110" s="51">
        <f>Inputs_Summary!I$5*G34/1000000</f>
        <v>0</v>
      </c>
      <c r="H110" s="51">
        <f>Inputs_Summary!J$5*H34/1000000</f>
        <v>0</v>
      </c>
      <c r="I110" s="51">
        <f>Inputs_Summary!K$5*I34/1000000</f>
        <v>0</v>
      </c>
      <c r="J110" s="51">
        <f>Inputs_Summary!L$5*J34/1000000</f>
        <v>0</v>
      </c>
      <c r="K110" s="51">
        <f>Inputs_Summary!M$5*K34/1000000</f>
        <v>0</v>
      </c>
      <c r="L110" s="51">
        <f>Inputs_Summary!N$5*L34/1000000</f>
        <v>0</v>
      </c>
      <c r="M110" s="51">
        <f>Inputs_Summary!O$5*M34/1000000</f>
        <v>0</v>
      </c>
      <c r="N110" s="51">
        <f>Inputs_Summary!P$5*N34/1000000</f>
        <v>5.9887859519957903E-4</v>
      </c>
      <c r="O110" s="51">
        <f>Inputs_Summary!R$5*O34/1000000</f>
        <v>0</v>
      </c>
      <c r="P110" s="97"/>
      <c r="Q110" s="39">
        <f>G110+N110</f>
        <v>5.9887859519957903E-4</v>
      </c>
      <c r="R110" s="5">
        <f>SUM(K110:L110)</f>
        <v>0</v>
      </c>
      <c r="T110" s="5">
        <f>SUM(C110:O110)</f>
        <v>211.56159425767646</v>
      </c>
    </row>
    <row r="111" spans="1:58" x14ac:dyDescent="0.3">
      <c r="B111" s="3">
        <v>2030</v>
      </c>
      <c r="C111" s="51">
        <f>Inputs_Summary!E$5*C35/1000000</f>
        <v>145.75450583573391</v>
      </c>
      <c r="D111" s="51">
        <f>Inputs_Summary!F$5*D35/1000000</f>
        <v>0</v>
      </c>
      <c r="E111" s="51">
        <f>Inputs_Summary!G$5*E35/1000000</f>
        <v>0.81791368164058675</v>
      </c>
      <c r="F111" s="51">
        <f>Inputs_Summary!H$5*F35/1000000</f>
        <v>0.12177697862991155</v>
      </c>
      <c r="G111" s="51">
        <f>Inputs_Summary!I$5*G35/1000000</f>
        <v>0</v>
      </c>
      <c r="H111" s="51">
        <f>Inputs_Summary!J$5*H35/1000000</f>
        <v>0</v>
      </c>
      <c r="I111" s="51">
        <f>Inputs_Summary!K$5*I35/1000000</f>
        <v>0</v>
      </c>
      <c r="J111" s="51">
        <f>Inputs_Summary!L$5*J35/1000000</f>
        <v>0</v>
      </c>
      <c r="K111" s="51">
        <f>Inputs_Summary!M$5*K35/1000000</f>
        <v>0</v>
      </c>
      <c r="L111" s="51">
        <f>Inputs_Summary!N$5*L35/1000000</f>
        <v>0</v>
      </c>
      <c r="M111" s="51">
        <f>Inputs_Summary!O$5*M35/1000000</f>
        <v>0</v>
      </c>
      <c r="N111" s="51">
        <f>Inputs_Summary!P$5*N35/1000000</f>
        <v>4.9203643871506748E-4</v>
      </c>
      <c r="O111" s="51">
        <f>Inputs_Summary!R$5*O35/1000000</f>
        <v>0</v>
      </c>
      <c r="P111" s="97"/>
      <c r="Q111" s="39">
        <f>G111+N111</f>
        <v>4.9203643871506748E-4</v>
      </c>
      <c r="R111" s="5">
        <f>SUM(K111:L111)</f>
        <v>0</v>
      </c>
      <c r="T111" s="5">
        <f t="shared" ref="T111:T113" si="53">SUM(C111:O111)</f>
        <v>146.69468853244314</v>
      </c>
    </row>
    <row r="112" spans="1:58" x14ac:dyDescent="0.3">
      <c r="B112" s="3">
        <v>2040</v>
      </c>
      <c r="C112" s="51">
        <f>Inputs_Summary!E$5*C36/1000000</f>
        <v>45.496404823404198</v>
      </c>
      <c r="D112" s="51">
        <f>Inputs_Summary!F$5*D36/1000000</f>
        <v>0</v>
      </c>
      <c r="E112" s="51">
        <f>Inputs_Summary!G$5*E36/1000000</f>
        <v>0.82557998903305352</v>
      </c>
      <c r="F112" s="51">
        <f>Inputs_Summary!H$5*F36/1000000</f>
        <v>4.8421278648328278E-2</v>
      </c>
      <c r="G112" s="51">
        <f>Inputs_Summary!I$5*G36/1000000</f>
        <v>0</v>
      </c>
      <c r="H112" s="51">
        <f>Inputs_Summary!J$5*H36/1000000</f>
        <v>0</v>
      </c>
      <c r="I112" s="51">
        <f>Inputs_Summary!K$5*I36/1000000</f>
        <v>0</v>
      </c>
      <c r="J112" s="51">
        <f>Inputs_Summary!L$5*J36/1000000</f>
        <v>0</v>
      </c>
      <c r="K112" s="51">
        <f>Inputs_Summary!M$5*K36/1000000</f>
        <v>0</v>
      </c>
      <c r="L112" s="51">
        <f>Inputs_Summary!N$5*L36/1000000</f>
        <v>0</v>
      </c>
      <c r="M112" s="51">
        <f>Inputs_Summary!O$5*M36/1000000</f>
        <v>0</v>
      </c>
      <c r="N112" s="51">
        <f>Inputs_Summary!P$5*N36/1000000</f>
        <v>4.8947509567768383E-4</v>
      </c>
      <c r="O112" s="51">
        <f>Inputs_Summary!R$5*O36/1000000</f>
        <v>0</v>
      </c>
      <c r="P112" s="97"/>
      <c r="Q112" s="39">
        <f>G112+N112</f>
        <v>4.8947509567768383E-4</v>
      </c>
      <c r="R112" s="5">
        <f>SUM(K112:L112)</f>
        <v>0</v>
      </c>
      <c r="T112" s="5">
        <f t="shared" si="53"/>
        <v>46.370895566181254</v>
      </c>
    </row>
    <row r="113" spans="2:20" x14ac:dyDescent="0.3">
      <c r="B113" s="3">
        <v>2050</v>
      </c>
      <c r="C113" s="51">
        <f>Inputs_Summary!E$5*C37/1000000</f>
        <v>0</v>
      </c>
      <c r="D113" s="51">
        <f>Inputs_Summary!F$5*D37/1000000</f>
        <v>0</v>
      </c>
      <c r="E113" s="51">
        <f>Inputs_Summary!G$5*E37/1000000</f>
        <v>0.81119848335917799</v>
      </c>
      <c r="F113" s="51">
        <f>Inputs_Summary!H$5*F37/1000000</f>
        <v>0</v>
      </c>
      <c r="G113" s="51">
        <f>Inputs_Summary!I$5*G37/1000000</f>
        <v>0</v>
      </c>
      <c r="H113" s="51">
        <f>Inputs_Summary!J$5*H37/1000000</f>
        <v>0</v>
      </c>
      <c r="I113" s="51">
        <f>Inputs_Summary!K$5*I37/1000000</f>
        <v>0</v>
      </c>
      <c r="J113" s="51">
        <f>Inputs_Summary!L$5*J37/1000000</f>
        <v>0</v>
      </c>
      <c r="K113" s="51">
        <f>Inputs_Summary!M$5*K37/1000000</f>
        <v>0</v>
      </c>
      <c r="L113" s="51">
        <f>Inputs_Summary!N$5*L37/1000000</f>
        <v>0</v>
      </c>
      <c r="M113" s="51">
        <f>Inputs_Summary!O$5*M37/1000000</f>
        <v>0</v>
      </c>
      <c r="N113" s="51">
        <f>Inputs_Summary!P$5*N37/1000000</f>
        <v>4.9234225321175917E-4</v>
      </c>
      <c r="O113" s="51">
        <f>Inputs_Summary!R$5*O37/1000000</f>
        <v>0</v>
      </c>
      <c r="P113" s="97"/>
      <c r="Q113" s="39">
        <f>G113+N113</f>
        <v>4.9234225321175917E-4</v>
      </c>
      <c r="R113" s="5">
        <f>SUM(K113:L113)</f>
        <v>0</v>
      </c>
      <c r="T113" s="5">
        <f t="shared" si="53"/>
        <v>0.8116908256123897</v>
      </c>
    </row>
    <row r="114" spans="2:20" x14ac:dyDescent="0.3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28"/>
      <c r="Q114" s="5"/>
      <c r="R114" s="5"/>
      <c r="S114" s="5"/>
      <c r="T114" s="5"/>
    </row>
    <row r="115" spans="2:20" ht="28.8" x14ac:dyDescent="0.3">
      <c r="B115" s="43" t="s">
        <v>41</v>
      </c>
      <c r="C115" s="43" t="s">
        <v>0</v>
      </c>
      <c r="D115" s="43" t="s">
        <v>1</v>
      </c>
      <c r="E115" s="43" t="s">
        <v>28</v>
      </c>
      <c r="F115" s="2" t="s">
        <v>29</v>
      </c>
      <c r="G115" s="2" t="s">
        <v>6</v>
      </c>
      <c r="H115" s="43" t="s">
        <v>2</v>
      </c>
      <c r="I115" s="43" t="s">
        <v>3</v>
      </c>
      <c r="J115" s="43" t="s">
        <v>4</v>
      </c>
      <c r="K115" s="43" t="s">
        <v>9</v>
      </c>
      <c r="L115" s="43" t="s">
        <v>8</v>
      </c>
      <c r="M115" s="43" t="s">
        <v>25</v>
      </c>
      <c r="N115" s="43" t="s">
        <v>7</v>
      </c>
      <c r="O115" s="43" t="s">
        <v>89</v>
      </c>
      <c r="P115" s="25"/>
      <c r="Q115" s="43" t="s">
        <v>5</v>
      </c>
      <c r="R115" s="43" t="s">
        <v>91</v>
      </c>
      <c r="T115" s="43" t="s">
        <v>10</v>
      </c>
    </row>
    <row r="116" spans="2:20" x14ac:dyDescent="0.3">
      <c r="B116" s="3">
        <v>2016</v>
      </c>
      <c r="C116" s="51">
        <f>Inputs_Summary!E$8*C40/1000000</f>
        <v>5.0120134326513615</v>
      </c>
      <c r="D116" s="51">
        <f>Inputs_Summary!F$8*D40/1000000</f>
        <v>0</v>
      </c>
      <c r="E116" s="51">
        <f>Inputs_Summary!G$8*E40/1000000</f>
        <v>0</v>
      </c>
      <c r="F116" s="51">
        <f>Inputs_Summary!H$8*F40/1000000</f>
        <v>0</v>
      </c>
      <c r="G116" s="51">
        <f>Inputs_Summary!I$8*G40/1000000</f>
        <v>0</v>
      </c>
      <c r="H116" s="51">
        <f>Inputs_Summary!J$8*H40/1000000</f>
        <v>0</v>
      </c>
      <c r="I116" s="51">
        <f>Inputs_Summary!K$8*I40/1000000</f>
        <v>0</v>
      </c>
      <c r="J116" s="51">
        <f>Inputs_Summary!L$8*J40/1000000</f>
        <v>0</v>
      </c>
      <c r="K116" s="51">
        <f>Inputs_Summary!M$8*K40/1000000</f>
        <v>0</v>
      </c>
      <c r="L116" s="51">
        <f>Inputs_Summary!N$8*L40/1000000</f>
        <v>0</v>
      </c>
      <c r="M116" s="51">
        <f>Inputs_Summary!O$8*M40/1000000</f>
        <v>0</v>
      </c>
      <c r="N116" s="51">
        <f>Inputs_Summary!P$8*N40/1000000</f>
        <v>0</v>
      </c>
      <c r="O116" s="51">
        <f>Inputs_Summary!R$8*O40/1000000</f>
        <v>0</v>
      </c>
      <c r="P116" s="97"/>
      <c r="Q116" s="39">
        <f>G116+N116</f>
        <v>0</v>
      </c>
      <c r="R116" s="5">
        <f>SUM(K116:L116)</f>
        <v>0</v>
      </c>
      <c r="T116" s="5">
        <f>SUM(C116:O116)</f>
        <v>5.0120134326513615</v>
      </c>
    </row>
    <row r="117" spans="2:20" x14ac:dyDescent="0.3">
      <c r="B117" s="3">
        <v>2030</v>
      </c>
      <c r="C117" s="51">
        <f>Inputs_Summary!E$8*C41/1000000</f>
        <v>67.163024122140698</v>
      </c>
      <c r="D117" s="51">
        <f>Inputs_Summary!F$8*D41/1000000</f>
        <v>0</v>
      </c>
      <c r="E117" s="51">
        <f>Inputs_Summary!G$8*E41/1000000</f>
        <v>0</v>
      </c>
      <c r="F117" s="51">
        <f>Inputs_Summary!H$8*F41/1000000</f>
        <v>0</v>
      </c>
      <c r="G117" s="51">
        <f>Inputs_Summary!I$8*G41/1000000</f>
        <v>0</v>
      </c>
      <c r="H117" s="51">
        <f>Inputs_Summary!J$8*H41/1000000</f>
        <v>0</v>
      </c>
      <c r="I117" s="51">
        <f>Inputs_Summary!K$8*I41/1000000</f>
        <v>0</v>
      </c>
      <c r="J117" s="51">
        <f>Inputs_Summary!L$8*J41/1000000</f>
        <v>0</v>
      </c>
      <c r="K117" s="51">
        <f>Inputs_Summary!M$8*K41/1000000</f>
        <v>0</v>
      </c>
      <c r="L117" s="51">
        <f>Inputs_Summary!N$8*L41/1000000</f>
        <v>0</v>
      </c>
      <c r="M117" s="51">
        <f>Inputs_Summary!O$8*M41/1000000</f>
        <v>0</v>
      </c>
      <c r="N117" s="51">
        <f>Inputs_Summary!P$8*N41/1000000</f>
        <v>6.1055765384502355E-4</v>
      </c>
      <c r="O117" s="51">
        <f>Inputs_Summary!R$8*O41/1000000</f>
        <v>0</v>
      </c>
      <c r="P117" s="97"/>
      <c r="Q117" s="39">
        <f>G117+N117</f>
        <v>6.1055765384502355E-4</v>
      </c>
      <c r="R117" s="5">
        <f>SUM(K117:L117)</f>
        <v>0</v>
      </c>
      <c r="T117" s="5">
        <f t="shared" ref="T117:T119" si="54">SUM(C117:O117)</f>
        <v>67.163634679794541</v>
      </c>
    </row>
    <row r="118" spans="2:20" x14ac:dyDescent="0.3">
      <c r="B118" s="3">
        <v>2040</v>
      </c>
      <c r="C118" s="51">
        <f>Inputs_Summary!E$8*C42/1000000</f>
        <v>69.079384490002298</v>
      </c>
      <c r="D118" s="51">
        <f>Inputs_Summary!F$8*D42/1000000</f>
        <v>0</v>
      </c>
      <c r="E118" s="51">
        <f>Inputs_Summary!G$8*E42/1000000</f>
        <v>0</v>
      </c>
      <c r="F118" s="51">
        <f>Inputs_Summary!H$8*F42/1000000</f>
        <v>0</v>
      </c>
      <c r="G118" s="51">
        <f>Inputs_Summary!I$8*G42/1000000</f>
        <v>0</v>
      </c>
      <c r="H118" s="51">
        <f>Inputs_Summary!J$8*H42/1000000</f>
        <v>0</v>
      </c>
      <c r="I118" s="51">
        <f>Inputs_Summary!K$8*I42/1000000</f>
        <v>0</v>
      </c>
      <c r="J118" s="51">
        <f>Inputs_Summary!L$8*J42/1000000</f>
        <v>0</v>
      </c>
      <c r="K118" s="51">
        <f>Inputs_Summary!M$8*K42/1000000</f>
        <v>0</v>
      </c>
      <c r="L118" s="51">
        <f>Inputs_Summary!N$8*L42/1000000</f>
        <v>0</v>
      </c>
      <c r="M118" s="51">
        <f>Inputs_Summary!O$8*M42/1000000</f>
        <v>0</v>
      </c>
      <c r="N118" s="51">
        <f>Inputs_Summary!P$8*N42/1000000</f>
        <v>5.923110616140705E-4</v>
      </c>
      <c r="O118" s="51">
        <f>Inputs_Summary!R$8*O42/1000000</f>
        <v>0</v>
      </c>
      <c r="P118" s="97"/>
      <c r="Q118" s="39">
        <f>G118+N118</f>
        <v>5.923110616140705E-4</v>
      </c>
      <c r="R118" s="5">
        <f>SUM(K118:L118)</f>
        <v>0</v>
      </c>
      <c r="T118" s="5">
        <f t="shared" si="54"/>
        <v>69.079976801063907</v>
      </c>
    </row>
    <row r="119" spans="2:20" x14ac:dyDescent="0.3">
      <c r="B119" s="3">
        <v>2050</v>
      </c>
      <c r="C119" s="51">
        <f>Inputs_Summary!E$8*C43/1000000</f>
        <v>68.788668817126776</v>
      </c>
      <c r="D119" s="51">
        <f>Inputs_Summary!F$8*D43/1000000</f>
        <v>0</v>
      </c>
      <c r="E119" s="51">
        <f>Inputs_Summary!G$8*E43/1000000</f>
        <v>0</v>
      </c>
      <c r="F119" s="51">
        <f>Inputs_Summary!H$8*F43/1000000</f>
        <v>0</v>
      </c>
      <c r="G119" s="51">
        <f>Inputs_Summary!I$8*G43/1000000</f>
        <v>0</v>
      </c>
      <c r="H119" s="51">
        <f>Inputs_Summary!J$8*H43/1000000</f>
        <v>0</v>
      </c>
      <c r="I119" s="51">
        <f>Inputs_Summary!K$8*I43/1000000</f>
        <v>0</v>
      </c>
      <c r="J119" s="51">
        <f>Inputs_Summary!L$8*J43/1000000</f>
        <v>0</v>
      </c>
      <c r="K119" s="51">
        <f>Inputs_Summary!M$8*K43/1000000</f>
        <v>0</v>
      </c>
      <c r="L119" s="51">
        <f>Inputs_Summary!N$8*L43/1000000</f>
        <v>0</v>
      </c>
      <c r="M119" s="51">
        <f>Inputs_Summary!O$8*M43/1000000</f>
        <v>0</v>
      </c>
      <c r="N119" s="51">
        <f>Inputs_Summary!P$8*N43/1000000</f>
        <v>5.7456890484365282E-4</v>
      </c>
      <c r="O119" s="51">
        <f>Inputs_Summary!R$8*O43/1000000</f>
        <v>0</v>
      </c>
      <c r="P119" s="97"/>
      <c r="Q119" s="39">
        <f>G119+N119</f>
        <v>5.7456890484365282E-4</v>
      </c>
      <c r="R119" s="5">
        <f>SUM(K119:L119)</f>
        <v>0</v>
      </c>
      <c r="T119" s="5">
        <f t="shared" si="54"/>
        <v>68.789243386031615</v>
      </c>
    </row>
    <row r="120" spans="2:20" x14ac:dyDescent="0.3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28"/>
      <c r="Q120" s="5"/>
      <c r="R120" s="5"/>
      <c r="S120" s="5"/>
      <c r="T120" s="5"/>
    </row>
    <row r="121" spans="2:20" ht="28.8" x14ac:dyDescent="0.3">
      <c r="B121" s="43" t="s">
        <v>42</v>
      </c>
      <c r="C121" s="43" t="s">
        <v>0</v>
      </c>
      <c r="D121" s="43" t="s">
        <v>1</v>
      </c>
      <c r="E121" s="43" t="s">
        <v>28</v>
      </c>
      <c r="F121" s="2" t="s">
        <v>29</v>
      </c>
      <c r="G121" s="2" t="s">
        <v>6</v>
      </c>
      <c r="H121" s="43" t="s">
        <v>2</v>
      </c>
      <c r="I121" s="43" t="s">
        <v>3</v>
      </c>
      <c r="J121" s="43" t="s">
        <v>4</v>
      </c>
      <c r="K121" s="43" t="s">
        <v>9</v>
      </c>
      <c r="L121" s="43" t="s">
        <v>8</v>
      </c>
      <c r="M121" s="43" t="s">
        <v>25</v>
      </c>
      <c r="N121" s="43" t="s">
        <v>7</v>
      </c>
      <c r="O121" s="43" t="s">
        <v>89</v>
      </c>
      <c r="P121" s="25"/>
      <c r="Q121" s="43" t="s">
        <v>5</v>
      </c>
      <c r="R121" s="43" t="s">
        <v>91</v>
      </c>
      <c r="T121" s="43" t="s">
        <v>10</v>
      </c>
    </row>
    <row r="122" spans="2:20" x14ac:dyDescent="0.3">
      <c r="B122" s="3">
        <v>2016</v>
      </c>
      <c r="C122" s="51">
        <f>Inputs_Summary!E$11*C46/1000000</f>
        <v>0</v>
      </c>
      <c r="D122" s="51">
        <f>Inputs_Summary!F$11*D46/1000000</f>
        <v>0</v>
      </c>
      <c r="E122" s="51">
        <f>Inputs_Summary!G$11*E46/1000000</f>
        <v>0</v>
      </c>
      <c r="F122" s="51">
        <f>Inputs_Summary!H$11*F46/1000000</f>
        <v>0</v>
      </c>
      <c r="G122" s="51">
        <f>Inputs_Summary!I$11*G46/1000000</f>
        <v>0</v>
      </c>
      <c r="H122" s="51">
        <f>Inputs_Summary!J$11*H46/1000000</f>
        <v>0</v>
      </c>
      <c r="I122" s="51">
        <f>Inputs_Summary!K$11*I46/1000000</f>
        <v>0</v>
      </c>
      <c r="J122" s="51">
        <f>Inputs_Summary!L$11*J46/1000000</f>
        <v>0</v>
      </c>
      <c r="K122" s="51">
        <f>Inputs_Summary!M$11*K46/1000000</f>
        <v>0</v>
      </c>
      <c r="L122" s="51">
        <f>Inputs_Summary!N$11*L46/1000000</f>
        <v>0</v>
      </c>
      <c r="M122" s="51">
        <f>Inputs_Summary!O$11*M46/1000000</f>
        <v>0</v>
      </c>
      <c r="N122" s="51">
        <f>Inputs_Summary!P$11*N46/1000000</f>
        <v>0</v>
      </c>
      <c r="O122" s="51">
        <f>Inputs_Summary!R$11*O46/1000000</f>
        <v>0</v>
      </c>
      <c r="P122" s="97"/>
      <c r="Q122" s="39">
        <f>G122+N122</f>
        <v>0</v>
      </c>
      <c r="R122" s="5">
        <f>SUM(K122:L122)</f>
        <v>0</v>
      </c>
      <c r="T122" s="5">
        <f>SUM(C122:O122)</f>
        <v>0</v>
      </c>
    </row>
    <row r="123" spans="2:20" x14ac:dyDescent="0.3">
      <c r="B123" s="3">
        <v>2030</v>
      </c>
      <c r="C123" s="51">
        <f>Inputs_Summary!E$11*C47/1000000</f>
        <v>0</v>
      </c>
      <c r="D123" s="51">
        <f>Inputs_Summary!F$11*D47/1000000</f>
        <v>0</v>
      </c>
      <c r="E123" s="51">
        <f>Inputs_Summary!G$11*E47/1000000</f>
        <v>5.4330431008382041</v>
      </c>
      <c r="F123" s="51">
        <f>Inputs_Summary!H$11*F47/1000000</f>
        <v>1.386969530645483</v>
      </c>
      <c r="G123" s="51">
        <f>Inputs_Summary!I$11*G47/1000000</f>
        <v>0</v>
      </c>
      <c r="H123" s="51">
        <f>Inputs_Summary!J$11*H47/1000000</f>
        <v>0</v>
      </c>
      <c r="I123" s="51">
        <f>Inputs_Summary!K$11*I47/1000000</f>
        <v>0</v>
      </c>
      <c r="J123" s="51">
        <f>Inputs_Summary!L$11*J47/1000000</f>
        <v>0</v>
      </c>
      <c r="K123" s="51">
        <f>Inputs_Summary!M$11*K47/1000000</f>
        <v>0</v>
      </c>
      <c r="L123" s="51">
        <f>Inputs_Summary!N$11*L47/1000000</f>
        <v>0</v>
      </c>
      <c r="M123" s="51">
        <f>Inputs_Summary!O$11*M47/1000000</f>
        <v>0</v>
      </c>
      <c r="N123" s="51">
        <f>Inputs_Summary!P$11*N47/1000000</f>
        <v>0</v>
      </c>
      <c r="O123" s="51">
        <f>Inputs_Summary!R$11*O47/1000000</f>
        <v>0</v>
      </c>
      <c r="P123" s="97"/>
      <c r="Q123" s="39">
        <f>G123+N123</f>
        <v>0</v>
      </c>
      <c r="R123" s="5">
        <f>SUM(K123:L123)</f>
        <v>0</v>
      </c>
      <c r="T123" s="5">
        <f t="shared" ref="T123:T125" si="55">SUM(C123:O123)</f>
        <v>6.8200126314836869</v>
      </c>
    </row>
    <row r="124" spans="2:20" x14ac:dyDescent="0.3">
      <c r="B124" s="3">
        <v>2040</v>
      </c>
      <c r="C124" s="51">
        <f>Inputs_Summary!E$11*C48/1000000</f>
        <v>65.369569322491913</v>
      </c>
      <c r="D124" s="51">
        <f>Inputs_Summary!F$11*D48/1000000</f>
        <v>0</v>
      </c>
      <c r="E124" s="51">
        <f>Inputs_Summary!G$11*E48/1000000</f>
        <v>9.8818976187295675</v>
      </c>
      <c r="F124" s="51">
        <f>Inputs_Summary!H$11*F48/1000000</f>
        <v>1.7933166413684436</v>
      </c>
      <c r="G124" s="51">
        <f>Inputs_Summary!I$11*G48/1000000</f>
        <v>0</v>
      </c>
      <c r="H124" s="51">
        <f>Inputs_Summary!J$11*H48/1000000</f>
        <v>0</v>
      </c>
      <c r="I124" s="51">
        <f>Inputs_Summary!K$11*I48/1000000</f>
        <v>0</v>
      </c>
      <c r="J124" s="51">
        <f>Inputs_Summary!L$11*J48/1000000</f>
        <v>0</v>
      </c>
      <c r="K124" s="51">
        <f>Inputs_Summary!M$11*K48/1000000</f>
        <v>0</v>
      </c>
      <c r="L124" s="51">
        <f>Inputs_Summary!N$11*L48/1000000</f>
        <v>0</v>
      </c>
      <c r="M124" s="51">
        <f>Inputs_Summary!O$11*M48/1000000</f>
        <v>0</v>
      </c>
      <c r="N124" s="51">
        <f>Inputs_Summary!P$11*N48/1000000</f>
        <v>0</v>
      </c>
      <c r="O124" s="51">
        <f>Inputs_Summary!R$11*O48/1000000</f>
        <v>0</v>
      </c>
      <c r="P124" s="97"/>
      <c r="Q124" s="39">
        <f>G124+N124</f>
        <v>0</v>
      </c>
      <c r="R124" s="5">
        <f>SUM(K124:L124)</f>
        <v>0</v>
      </c>
      <c r="T124" s="5">
        <f t="shared" si="55"/>
        <v>77.044783582589929</v>
      </c>
    </row>
    <row r="125" spans="2:20" x14ac:dyDescent="0.3">
      <c r="B125" s="3">
        <v>2050</v>
      </c>
      <c r="C125" s="51">
        <f>Inputs_Summary!E$11*C49/1000000</f>
        <v>121.27308164774692</v>
      </c>
      <c r="D125" s="51">
        <f>Inputs_Summary!F$11*D49/1000000</f>
        <v>0</v>
      </c>
      <c r="E125" s="51">
        <f>Inputs_Summary!G$11*E49/1000000</f>
        <v>11.300383292356651</v>
      </c>
      <c r="F125" s="51">
        <f>Inputs_Summary!H$11*F49/1000000</f>
        <v>1.8774094936878234</v>
      </c>
      <c r="G125" s="51">
        <f>Inputs_Summary!I$11*G49/1000000</f>
        <v>0</v>
      </c>
      <c r="H125" s="51">
        <f>Inputs_Summary!J$11*H49/1000000</f>
        <v>0</v>
      </c>
      <c r="I125" s="51">
        <f>Inputs_Summary!K$11*I49/1000000</f>
        <v>0</v>
      </c>
      <c r="J125" s="51">
        <f>Inputs_Summary!L$11*J49/1000000</f>
        <v>0</v>
      </c>
      <c r="K125" s="51">
        <f>Inputs_Summary!M$11*K49/1000000</f>
        <v>0</v>
      </c>
      <c r="L125" s="51">
        <f>Inputs_Summary!N$11*L49/1000000</f>
        <v>0</v>
      </c>
      <c r="M125" s="51">
        <f>Inputs_Summary!O$11*M49/1000000</f>
        <v>0</v>
      </c>
      <c r="N125" s="51">
        <f>Inputs_Summary!P$11*N49/1000000</f>
        <v>0</v>
      </c>
      <c r="O125" s="51">
        <f>Inputs_Summary!R$11*O49/1000000</f>
        <v>0</v>
      </c>
      <c r="P125" s="97"/>
      <c r="Q125" s="39">
        <f>G125+N125</f>
        <v>0</v>
      </c>
      <c r="R125" s="5">
        <f>SUM(K125:L125)</f>
        <v>0</v>
      </c>
      <c r="T125" s="5">
        <f t="shared" si="55"/>
        <v>134.4508744337914</v>
      </c>
    </row>
    <row r="126" spans="2:20" x14ac:dyDescent="0.3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28"/>
    </row>
    <row r="127" spans="2:20" ht="28.8" x14ac:dyDescent="0.3">
      <c r="B127" s="43" t="s">
        <v>24</v>
      </c>
      <c r="C127" s="43" t="s">
        <v>0</v>
      </c>
      <c r="D127" s="43" t="s">
        <v>1</v>
      </c>
      <c r="E127" s="43" t="s">
        <v>28</v>
      </c>
      <c r="F127" s="2" t="s">
        <v>29</v>
      </c>
      <c r="G127" s="2" t="s">
        <v>6</v>
      </c>
      <c r="H127" s="43" t="s">
        <v>2</v>
      </c>
      <c r="I127" s="43" t="s">
        <v>3</v>
      </c>
      <c r="J127" s="43" t="s">
        <v>4</v>
      </c>
      <c r="K127" s="43" t="s">
        <v>9</v>
      </c>
      <c r="L127" s="43" t="s">
        <v>8</v>
      </c>
      <c r="M127" s="43" t="s">
        <v>25</v>
      </c>
      <c r="N127" s="43" t="s">
        <v>7</v>
      </c>
      <c r="O127" s="43" t="s">
        <v>89</v>
      </c>
      <c r="P127" s="25"/>
      <c r="Q127" s="43" t="s">
        <v>5</v>
      </c>
      <c r="R127" s="43" t="s">
        <v>91</v>
      </c>
      <c r="T127" s="43" t="s">
        <v>10</v>
      </c>
    </row>
    <row r="128" spans="2:20" x14ac:dyDescent="0.3">
      <c r="B128" s="3">
        <v>2016</v>
      </c>
      <c r="C128" s="51">
        <f t="shared" ref="C128:O131" si="56">C110+C116+C122</f>
        <v>215.13357259497792</v>
      </c>
      <c r="D128" s="51">
        <f t="shared" si="56"/>
        <v>0</v>
      </c>
      <c r="E128" s="51">
        <f t="shared" si="56"/>
        <v>0.27748016944768411</v>
      </c>
      <c r="F128" s="51">
        <f t="shared" si="56"/>
        <v>1.1619560473070238</v>
      </c>
      <c r="G128" s="51">
        <f t="shared" si="56"/>
        <v>0</v>
      </c>
      <c r="H128" s="51">
        <f t="shared" si="56"/>
        <v>0</v>
      </c>
      <c r="I128" s="51">
        <f t="shared" si="56"/>
        <v>0</v>
      </c>
      <c r="J128" s="51">
        <f t="shared" si="56"/>
        <v>0</v>
      </c>
      <c r="K128" s="51">
        <f t="shared" si="56"/>
        <v>0</v>
      </c>
      <c r="L128" s="51">
        <f t="shared" si="56"/>
        <v>0</v>
      </c>
      <c r="M128" s="51">
        <f t="shared" si="56"/>
        <v>0</v>
      </c>
      <c r="N128" s="51">
        <f t="shared" si="56"/>
        <v>5.9887859519957903E-4</v>
      </c>
      <c r="O128" s="51">
        <f t="shared" si="56"/>
        <v>0</v>
      </c>
      <c r="P128" s="97"/>
      <c r="Q128" s="39">
        <f>G128+N128</f>
        <v>5.9887859519957903E-4</v>
      </c>
      <c r="R128" s="5">
        <f>SUM(K128:L128)</f>
        <v>0</v>
      </c>
      <c r="T128" s="5">
        <f>SUM(C128:O128)</f>
        <v>216.57360769032783</v>
      </c>
    </row>
    <row r="129" spans="2:20" x14ac:dyDescent="0.3">
      <c r="B129" s="3">
        <v>2030</v>
      </c>
      <c r="C129" s="51">
        <f t="shared" ref="C129:N129" si="57">C111+C117+C123</f>
        <v>212.91752995787459</v>
      </c>
      <c r="D129" s="51">
        <f t="shared" si="57"/>
        <v>0</v>
      </c>
      <c r="E129" s="51">
        <f t="shared" si="57"/>
        <v>6.2509567824787906</v>
      </c>
      <c r="F129" s="51">
        <f t="shared" si="57"/>
        <v>1.5087465092753947</v>
      </c>
      <c r="G129" s="51">
        <f t="shared" si="57"/>
        <v>0</v>
      </c>
      <c r="H129" s="51">
        <f t="shared" si="57"/>
        <v>0</v>
      </c>
      <c r="I129" s="51">
        <f t="shared" si="57"/>
        <v>0</v>
      </c>
      <c r="J129" s="51">
        <f t="shared" si="57"/>
        <v>0</v>
      </c>
      <c r="K129" s="51">
        <f t="shared" si="57"/>
        <v>0</v>
      </c>
      <c r="L129" s="51">
        <f t="shared" si="57"/>
        <v>0</v>
      </c>
      <c r="M129" s="51">
        <f t="shared" si="57"/>
        <v>0</v>
      </c>
      <c r="N129" s="51">
        <f t="shared" si="57"/>
        <v>1.102594092560091E-3</v>
      </c>
      <c r="O129" s="51">
        <f t="shared" si="56"/>
        <v>0</v>
      </c>
      <c r="P129" s="97"/>
      <c r="Q129" s="39">
        <f>G129+N129</f>
        <v>1.102594092560091E-3</v>
      </c>
      <c r="R129" s="5">
        <f>SUM(K129:L129)</f>
        <v>0</v>
      </c>
      <c r="T129" s="5">
        <f t="shared" ref="T129:T131" si="58">SUM(C129:O129)</f>
        <v>220.67833584372136</v>
      </c>
    </row>
    <row r="130" spans="2:20" x14ac:dyDescent="0.3">
      <c r="B130" s="3">
        <v>2040</v>
      </c>
      <c r="C130" s="51">
        <f t="shared" ref="C130:N130" si="59">C112+C118+C124</f>
        <v>179.9453586358984</v>
      </c>
      <c r="D130" s="51">
        <f t="shared" si="59"/>
        <v>0</v>
      </c>
      <c r="E130" s="51">
        <f t="shared" si="59"/>
        <v>10.707477607762621</v>
      </c>
      <c r="F130" s="51">
        <f t="shared" si="59"/>
        <v>1.8417379200167718</v>
      </c>
      <c r="G130" s="51">
        <f t="shared" si="59"/>
        <v>0</v>
      </c>
      <c r="H130" s="51">
        <f t="shared" si="59"/>
        <v>0</v>
      </c>
      <c r="I130" s="51">
        <f t="shared" si="59"/>
        <v>0</v>
      </c>
      <c r="J130" s="51">
        <f t="shared" si="59"/>
        <v>0</v>
      </c>
      <c r="K130" s="51">
        <f t="shared" si="59"/>
        <v>0</v>
      </c>
      <c r="L130" s="51">
        <f t="shared" si="59"/>
        <v>0</v>
      </c>
      <c r="M130" s="51">
        <f t="shared" si="59"/>
        <v>0</v>
      </c>
      <c r="N130" s="51">
        <f t="shared" si="59"/>
        <v>1.0817861572917542E-3</v>
      </c>
      <c r="O130" s="51">
        <f t="shared" si="56"/>
        <v>0</v>
      </c>
      <c r="P130" s="97"/>
      <c r="Q130" s="39">
        <f>G130+N130</f>
        <v>1.0817861572917542E-3</v>
      </c>
      <c r="R130" s="5">
        <f>SUM(K130:L130)</f>
        <v>0</v>
      </c>
      <c r="T130" s="5">
        <f t="shared" si="58"/>
        <v>192.49565594983511</v>
      </c>
    </row>
    <row r="131" spans="2:20" x14ac:dyDescent="0.3">
      <c r="B131" s="3">
        <v>2050</v>
      </c>
      <c r="C131" s="51">
        <f t="shared" ref="C131:N131" si="60">C113+C119+C125</f>
        <v>190.06175046487368</v>
      </c>
      <c r="D131" s="51">
        <f t="shared" si="60"/>
        <v>0</v>
      </c>
      <c r="E131" s="51">
        <f t="shared" si="60"/>
        <v>12.111581775715829</v>
      </c>
      <c r="F131" s="51">
        <f t="shared" si="60"/>
        <v>1.8774094936878234</v>
      </c>
      <c r="G131" s="51">
        <f t="shared" si="60"/>
        <v>0</v>
      </c>
      <c r="H131" s="51">
        <f t="shared" si="60"/>
        <v>0</v>
      </c>
      <c r="I131" s="51">
        <f t="shared" si="60"/>
        <v>0</v>
      </c>
      <c r="J131" s="51">
        <f t="shared" si="60"/>
        <v>0</v>
      </c>
      <c r="K131" s="51">
        <f t="shared" si="60"/>
        <v>0</v>
      </c>
      <c r="L131" s="51">
        <f t="shared" si="60"/>
        <v>0</v>
      </c>
      <c r="M131" s="51">
        <f t="shared" si="60"/>
        <v>0</v>
      </c>
      <c r="N131" s="51">
        <f t="shared" si="60"/>
        <v>1.0669111580554119E-3</v>
      </c>
      <c r="O131" s="51">
        <f t="shared" si="56"/>
        <v>0</v>
      </c>
      <c r="P131" s="97"/>
      <c r="Q131" s="39">
        <f>G131+N131</f>
        <v>1.0669111580554119E-3</v>
      </c>
      <c r="R131" s="5">
        <f>SUM(K131:L131)</f>
        <v>0</v>
      </c>
      <c r="T131" s="5">
        <f t="shared" si="58"/>
        <v>204.05180864543539</v>
      </c>
    </row>
    <row r="132" spans="2:20" x14ac:dyDescent="0.3"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28"/>
    </row>
    <row r="133" spans="2:20" x14ac:dyDescent="0.3">
      <c r="B133" s="3">
        <v>2016</v>
      </c>
      <c r="C133" s="23">
        <f t="shared" ref="C133:N133" si="61">IFERROR(C128/$T128,0)</f>
        <v>0.99335082833634569</v>
      </c>
      <c r="D133" s="23">
        <f t="shared" si="61"/>
        <v>0</v>
      </c>
      <c r="E133" s="23">
        <f t="shared" si="61"/>
        <v>1.2812279963699213E-3</v>
      </c>
      <c r="F133" s="23">
        <f t="shared" si="61"/>
        <v>5.365178424549635E-3</v>
      </c>
      <c r="G133" s="23">
        <f t="shared" si="61"/>
        <v>0</v>
      </c>
      <c r="H133" s="23">
        <f t="shared" si="61"/>
        <v>0</v>
      </c>
      <c r="I133" s="23">
        <f t="shared" si="61"/>
        <v>0</v>
      </c>
      <c r="J133" s="23">
        <f t="shared" si="61"/>
        <v>0</v>
      </c>
      <c r="K133" s="23">
        <f t="shared" si="61"/>
        <v>0</v>
      </c>
      <c r="L133" s="23">
        <f t="shared" si="61"/>
        <v>0</v>
      </c>
      <c r="M133" s="23">
        <f t="shared" si="61"/>
        <v>0</v>
      </c>
      <c r="N133" s="23">
        <f t="shared" si="61"/>
        <v>2.7652427347283133E-6</v>
      </c>
      <c r="O133" s="23">
        <f t="shared" ref="O133:O136" si="62">IFERROR(O128/$T128,0)</f>
        <v>0</v>
      </c>
      <c r="P133" s="26"/>
      <c r="Q133" s="7">
        <f t="shared" ref="Q133:R136" si="63">Q128/$T128</f>
        <v>2.7652427347283133E-6</v>
      </c>
      <c r="R133" s="7">
        <f t="shared" si="63"/>
        <v>0</v>
      </c>
      <c r="T133" s="8">
        <f>SUM(C133:O133)</f>
        <v>0.99999999999999989</v>
      </c>
    </row>
    <row r="134" spans="2:20" x14ac:dyDescent="0.3">
      <c r="B134" s="3">
        <v>2030</v>
      </c>
      <c r="C134" s="23">
        <f t="shared" ref="C134:N134" si="64">IFERROR(C129/$T129,0)</f>
        <v>0.9648320445404176</v>
      </c>
      <c r="D134" s="23">
        <f t="shared" si="64"/>
        <v>0</v>
      </c>
      <c r="E134" s="23">
        <f t="shared" si="64"/>
        <v>2.8326100786375132E-2</v>
      </c>
      <c r="F134" s="23">
        <f t="shared" si="64"/>
        <v>6.8368582874571322E-3</v>
      </c>
      <c r="G134" s="23">
        <f t="shared" si="64"/>
        <v>0</v>
      </c>
      <c r="H134" s="23">
        <f t="shared" si="64"/>
        <v>0</v>
      </c>
      <c r="I134" s="23">
        <f t="shared" si="64"/>
        <v>0</v>
      </c>
      <c r="J134" s="23">
        <f t="shared" si="64"/>
        <v>0</v>
      </c>
      <c r="K134" s="23">
        <f t="shared" si="64"/>
        <v>0</v>
      </c>
      <c r="L134" s="23">
        <f t="shared" si="64"/>
        <v>0</v>
      </c>
      <c r="M134" s="23">
        <f t="shared" si="64"/>
        <v>0</v>
      </c>
      <c r="N134" s="23">
        <f t="shared" si="64"/>
        <v>4.9963857500761621E-6</v>
      </c>
      <c r="O134" s="23">
        <f t="shared" si="62"/>
        <v>0</v>
      </c>
      <c r="P134" s="26"/>
      <c r="Q134" s="7">
        <f t="shared" si="63"/>
        <v>4.9963857500761621E-6</v>
      </c>
      <c r="R134" s="7">
        <f t="shared" si="63"/>
        <v>0</v>
      </c>
      <c r="T134" s="8">
        <f t="shared" ref="T134:T136" si="65">SUM(C134:O134)</f>
        <v>0.99999999999999989</v>
      </c>
    </row>
    <row r="135" spans="2:20" x14ac:dyDescent="0.3">
      <c r="B135" s="3">
        <v>2040</v>
      </c>
      <c r="C135" s="23">
        <f t="shared" ref="C135:N135" si="66">IFERROR(C130/$T130,0)</f>
        <v>0.93480217903095253</v>
      </c>
      <c r="D135" s="23">
        <f t="shared" si="66"/>
        <v>0</v>
      </c>
      <c r="E135" s="23">
        <f t="shared" si="66"/>
        <v>5.5624515550382184E-2</v>
      </c>
      <c r="F135" s="23">
        <f t="shared" si="66"/>
        <v>9.5676856234965316E-3</v>
      </c>
      <c r="G135" s="23">
        <f t="shared" si="66"/>
        <v>0</v>
      </c>
      <c r="H135" s="23">
        <f t="shared" si="66"/>
        <v>0</v>
      </c>
      <c r="I135" s="23">
        <f t="shared" si="66"/>
        <v>0</v>
      </c>
      <c r="J135" s="23">
        <f t="shared" si="66"/>
        <v>0</v>
      </c>
      <c r="K135" s="23">
        <f t="shared" si="66"/>
        <v>0</v>
      </c>
      <c r="L135" s="23">
        <f t="shared" si="66"/>
        <v>0</v>
      </c>
      <c r="M135" s="23">
        <f t="shared" si="66"/>
        <v>0</v>
      </c>
      <c r="N135" s="23">
        <f t="shared" si="66"/>
        <v>5.6197951686435488E-6</v>
      </c>
      <c r="O135" s="23">
        <f t="shared" si="62"/>
        <v>0</v>
      </c>
      <c r="P135" s="26"/>
      <c r="Q135" s="7">
        <f t="shared" si="63"/>
        <v>5.6197951686435488E-6</v>
      </c>
      <c r="R135" s="7">
        <f t="shared" si="63"/>
        <v>0</v>
      </c>
      <c r="T135" s="8">
        <f t="shared" si="65"/>
        <v>0.99999999999999989</v>
      </c>
    </row>
    <row r="136" spans="2:20" x14ac:dyDescent="0.3">
      <c r="B136" s="3">
        <v>2050</v>
      </c>
      <c r="C136" s="23">
        <f t="shared" ref="C136:N136" si="67">IFERROR(C131/$T131,0)</f>
        <v>0.93143869552819736</v>
      </c>
      <c r="D136" s="23">
        <f t="shared" si="67"/>
        <v>0</v>
      </c>
      <c r="E136" s="23">
        <f t="shared" si="67"/>
        <v>5.9355424762547251E-2</v>
      </c>
      <c r="F136" s="23">
        <f t="shared" si="67"/>
        <v>9.2006510804814711E-3</v>
      </c>
      <c r="G136" s="23">
        <f t="shared" si="67"/>
        <v>0</v>
      </c>
      <c r="H136" s="23">
        <f t="shared" si="67"/>
        <v>0</v>
      </c>
      <c r="I136" s="23">
        <f t="shared" si="67"/>
        <v>0</v>
      </c>
      <c r="J136" s="23">
        <f t="shared" si="67"/>
        <v>0</v>
      </c>
      <c r="K136" s="23">
        <f t="shared" si="67"/>
        <v>0</v>
      </c>
      <c r="L136" s="23">
        <f t="shared" si="67"/>
        <v>0</v>
      </c>
      <c r="M136" s="23">
        <f t="shared" si="67"/>
        <v>0</v>
      </c>
      <c r="N136" s="23">
        <f t="shared" si="67"/>
        <v>5.2286287739272075E-6</v>
      </c>
      <c r="O136" s="23">
        <f t="shared" si="62"/>
        <v>0</v>
      </c>
      <c r="P136" s="26"/>
      <c r="Q136" s="7">
        <f t="shared" si="63"/>
        <v>5.2286287739272075E-6</v>
      </c>
      <c r="R136" s="7">
        <f t="shared" si="63"/>
        <v>0</v>
      </c>
      <c r="T136" s="8">
        <f t="shared" si="65"/>
        <v>1</v>
      </c>
    </row>
    <row r="137" spans="2:20" s="11" customFormat="1" x14ac:dyDescent="0.3">
      <c r="C137" s="12"/>
      <c r="D137" s="12"/>
      <c r="E137" s="14"/>
      <c r="F137" s="14"/>
      <c r="G137" s="14"/>
      <c r="H137" s="16"/>
      <c r="I137" s="14"/>
      <c r="J137" s="14"/>
      <c r="K137" s="16"/>
      <c r="L137" s="14"/>
      <c r="M137" s="16"/>
      <c r="N137" s="20"/>
      <c r="O137" s="20"/>
      <c r="P137" s="20"/>
    </row>
    <row r="138" spans="2:20" s="9" customFormat="1" ht="21" x14ac:dyDescent="0.4">
      <c r="B138" s="10" t="s">
        <v>44</v>
      </c>
    </row>
    <row r="139" spans="2:20" s="32" customFormat="1" ht="21" x14ac:dyDescent="0.4">
      <c r="B139" s="31"/>
      <c r="P139" s="58"/>
    </row>
    <row r="140" spans="2:20" ht="28.8" x14ac:dyDescent="0.3">
      <c r="B140" s="43" t="s">
        <v>76</v>
      </c>
      <c r="C140" s="43" t="s">
        <v>0</v>
      </c>
      <c r="D140" s="43" t="s">
        <v>1</v>
      </c>
      <c r="E140" s="43" t="s">
        <v>28</v>
      </c>
      <c r="F140" s="2" t="s">
        <v>29</v>
      </c>
      <c r="G140" s="2" t="s">
        <v>6</v>
      </c>
      <c r="H140" s="43" t="s">
        <v>2</v>
      </c>
      <c r="I140" s="43" t="s">
        <v>3</v>
      </c>
      <c r="J140" s="43" t="s">
        <v>4</v>
      </c>
      <c r="K140" s="43" t="s">
        <v>9</v>
      </c>
      <c r="L140" s="43" t="s">
        <v>8</v>
      </c>
      <c r="M140" s="43" t="s">
        <v>25</v>
      </c>
      <c r="N140" s="43" t="s">
        <v>7</v>
      </c>
      <c r="O140" s="43" t="s">
        <v>89</v>
      </c>
      <c r="P140" s="25"/>
      <c r="Q140" s="43" t="s">
        <v>5</v>
      </c>
      <c r="R140" s="43" t="s">
        <v>91</v>
      </c>
      <c r="T140" s="43" t="s">
        <v>10</v>
      </c>
    </row>
    <row r="141" spans="2:20" x14ac:dyDescent="0.3">
      <c r="B141" s="3">
        <v>2016</v>
      </c>
      <c r="C141" s="51">
        <f>Inputs_Summary!E$16*C34/1000000</f>
        <v>280.52467826386066</v>
      </c>
      <c r="D141" s="51">
        <f>Inputs_Summary!F$16*D34/1000000</f>
        <v>0</v>
      </c>
      <c r="E141" s="51">
        <f>Inputs_Summary!G$16*E34/1000000</f>
        <v>1.4970319768567157E-2</v>
      </c>
      <c r="F141" s="51">
        <f>Inputs_Summary!H$16*F34/1000000</f>
        <v>0</v>
      </c>
      <c r="G141" s="51">
        <f>Inputs_Summary!I$16*G34/1000000</f>
        <v>0</v>
      </c>
      <c r="H141" s="51">
        <f>Inputs_Summary!J$16*H34/1000000</f>
        <v>0</v>
      </c>
      <c r="I141" s="51">
        <f>Inputs_Summary!K$16*I34/1000000</f>
        <v>6.6213594050410038E-2</v>
      </c>
      <c r="J141" s="51">
        <f>Inputs_Summary!L$16*J34/1000000</f>
        <v>0</v>
      </c>
      <c r="K141" s="51">
        <f>Inputs_Summary!M$16*K34/1000000</f>
        <v>0</v>
      </c>
      <c r="L141" s="51">
        <f>Inputs_Summary!N$16*L34/1000000</f>
        <v>0.35950778379036846</v>
      </c>
      <c r="M141" s="51">
        <f>Inputs_Summary!O$16*M34/1000000</f>
        <v>0</v>
      </c>
      <c r="N141" s="51">
        <f>Inputs_Summary!P$16*N34/1000000</f>
        <v>5.9887859519957903E-4</v>
      </c>
      <c r="O141" s="51">
        <f>Inputs_Summary!R$16*O34/1000000</f>
        <v>0</v>
      </c>
      <c r="P141" s="97"/>
      <c r="Q141" s="39">
        <f>G141+N141</f>
        <v>5.9887859519957903E-4</v>
      </c>
      <c r="R141" s="5">
        <f>SUM(K141:L141)</f>
        <v>0.35950778379036846</v>
      </c>
      <c r="T141" s="5">
        <f>SUM(C141:O141)</f>
        <v>280.96596884006522</v>
      </c>
    </row>
    <row r="142" spans="2:20" x14ac:dyDescent="0.3">
      <c r="B142" s="3">
        <v>2030</v>
      </c>
      <c r="C142" s="51">
        <f>Inputs_Summary!E$16*C35/1000000</f>
        <v>194.59086453613261</v>
      </c>
      <c r="D142" s="51">
        <f>Inputs_Summary!F$16*D35/1000000</f>
        <v>0</v>
      </c>
      <c r="E142" s="51">
        <f>Inputs_Summary!G$16*E35/1000000</f>
        <v>4.4127223151181519E-2</v>
      </c>
      <c r="F142" s="51">
        <f>Inputs_Summary!H$16*F35/1000000</f>
        <v>0</v>
      </c>
      <c r="G142" s="51">
        <f>Inputs_Summary!I$16*G35/1000000</f>
        <v>0</v>
      </c>
      <c r="H142" s="51">
        <f>Inputs_Summary!J$16*H35/1000000</f>
        <v>0</v>
      </c>
      <c r="I142" s="51">
        <f>Inputs_Summary!K$16*I35/1000000</f>
        <v>6.7155222066749676E-2</v>
      </c>
      <c r="J142" s="51">
        <f>Inputs_Summary!L$16*J35/1000000</f>
        <v>0</v>
      </c>
      <c r="K142" s="51">
        <f>Inputs_Summary!M$16*K35/1000000</f>
        <v>0</v>
      </c>
      <c r="L142" s="51">
        <f>Inputs_Summary!N$16*L35/1000000</f>
        <v>0.36142544765623547</v>
      </c>
      <c r="M142" s="51">
        <f>Inputs_Summary!O$16*M35/1000000</f>
        <v>0</v>
      </c>
      <c r="N142" s="51">
        <f>Inputs_Summary!P$16*N35/1000000</f>
        <v>4.9203643871506748E-4</v>
      </c>
      <c r="O142" s="51">
        <f>Inputs_Summary!R$16*O35/1000000</f>
        <v>0</v>
      </c>
      <c r="P142" s="97"/>
      <c r="Q142" s="39">
        <f>G142+N142</f>
        <v>4.9203643871506748E-4</v>
      </c>
      <c r="R142" s="5">
        <f>SUM(K142:L142)</f>
        <v>0.36142544765623547</v>
      </c>
      <c r="T142" s="5">
        <f t="shared" ref="T142:T144" si="68">SUM(C142:O142)</f>
        <v>195.06406446544551</v>
      </c>
    </row>
    <row r="143" spans="2:20" x14ac:dyDescent="0.3">
      <c r="B143" s="3">
        <v>2040</v>
      </c>
      <c r="C143" s="51">
        <f>Inputs_Summary!E$16*C36/1000000</f>
        <v>60.740384642720279</v>
      </c>
      <c r="D143" s="51">
        <f>Inputs_Summary!F$16*D36/1000000</f>
        <v>0</v>
      </c>
      <c r="E143" s="51">
        <f>Inputs_Summary!G$16*E36/1000000</f>
        <v>4.4540827746197435E-2</v>
      </c>
      <c r="F143" s="51">
        <f>Inputs_Summary!H$16*F36/1000000</f>
        <v>0</v>
      </c>
      <c r="G143" s="51">
        <f>Inputs_Summary!I$16*G36/1000000</f>
        <v>0</v>
      </c>
      <c r="H143" s="51">
        <f>Inputs_Summary!J$16*H36/1000000</f>
        <v>0</v>
      </c>
      <c r="I143" s="51">
        <f>Inputs_Summary!K$16*I36/1000000</f>
        <v>6.7566443244141502E-2</v>
      </c>
      <c r="J143" s="51">
        <f>Inputs_Summary!L$16*J36/1000000</f>
        <v>0</v>
      </c>
      <c r="K143" s="51">
        <f>Inputs_Summary!M$16*K36/1000000</f>
        <v>0</v>
      </c>
      <c r="L143" s="51">
        <f>Inputs_Summary!N$16*L36/1000000</f>
        <v>0.36748191405572578</v>
      </c>
      <c r="M143" s="51">
        <f>Inputs_Summary!O$16*M36/1000000</f>
        <v>0</v>
      </c>
      <c r="N143" s="51">
        <f>Inputs_Summary!P$16*N36/1000000</f>
        <v>4.8947509567768383E-4</v>
      </c>
      <c r="O143" s="51">
        <f>Inputs_Summary!R$16*O36/1000000</f>
        <v>0</v>
      </c>
      <c r="P143" s="97"/>
      <c r="Q143" s="39">
        <f>G143+N143</f>
        <v>4.8947509567768383E-4</v>
      </c>
      <c r="R143" s="5">
        <f>SUM(K143:L143)</f>
        <v>0.36748191405572578</v>
      </c>
      <c r="T143" s="5">
        <f t="shared" si="68"/>
        <v>61.220463302862015</v>
      </c>
    </row>
    <row r="144" spans="2:20" x14ac:dyDescent="0.3">
      <c r="B144" s="3">
        <v>2050</v>
      </c>
      <c r="C144" s="51">
        <f>Inputs_Summary!E$16*C37/1000000</f>
        <v>0</v>
      </c>
      <c r="D144" s="51">
        <f>Inputs_Summary!F$16*D37/1000000</f>
        <v>0</v>
      </c>
      <c r="E144" s="51">
        <f>Inputs_Summary!G$16*E37/1000000</f>
        <v>4.3764931799759467E-2</v>
      </c>
      <c r="F144" s="51">
        <f>Inputs_Summary!H$16*F37/1000000</f>
        <v>0</v>
      </c>
      <c r="G144" s="51">
        <f>Inputs_Summary!I$16*G37/1000000</f>
        <v>0</v>
      </c>
      <c r="H144" s="51">
        <f>Inputs_Summary!J$16*H37/1000000</f>
        <v>0</v>
      </c>
      <c r="I144" s="51">
        <f>Inputs_Summary!K$16*I37/1000000</f>
        <v>0</v>
      </c>
      <c r="J144" s="51">
        <f>Inputs_Summary!L$16*J37/1000000</f>
        <v>0</v>
      </c>
      <c r="K144" s="51">
        <f>Inputs_Summary!M$16*K37/1000000</f>
        <v>0</v>
      </c>
      <c r="L144" s="51">
        <f>Inputs_Summary!N$16*L37/1000000</f>
        <v>0.36429968470957486</v>
      </c>
      <c r="M144" s="51">
        <f>Inputs_Summary!O$16*M37/1000000</f>
        <v>0</v>
      </c>
      <c r="N144" s="51">
        <f>Inputs_Summary!P$16*N37/1000000</f>
        <v>4.9234225321175917E-4</v>
      </c>
      <c r="O144" s="51">
        <f>Inputs_Summary!R$16*O37/1000000</f>
        <v>0</v>
      </c>
      <c r="P144" s="97"/>
      <c r="Q144" s="39">
        <f>G144+N144</f>
        <v>4.9234225321175917E-4</v>
      </c>
      <c r="R144" s="5">
        <f>SUM(K144:L144)</f>
        <v>0.36429968470957486</v>
      </c>
      <c r="T144" s="5">
        <f t="shared" si="68"/>
        <v>0.40855695876254611</v>
      </c>
    </row>
    <row r="145" spans="2:20" x14ac:dyDescent="0.3"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28"/>
      <c r="Q145" s="5"/>
      <c r="R145" s="5"/>
      <c r="S145" s="5"/>
      <c r="T145" s="5"/>
    </row>
    <row r="146" spans="2:20" ht="28.8" x14ac:dyDescent="0.3">
      <c r="B146" s="43" t="s">
        <v>77</v>
      </c>
      <c r="C146" s="43" t="s">
        <v>0</v>
      </c>
      <c r="D146" s="43" t="s">
        <v>1</v>
      </c>
      <c r="E146" s="43" t="s">
        <v>28</v>
      </c>
      <c r="F146" s="2" t="s">
        <v>29</v>
      </c>
      <c r="G146" s="2" t="s">
        <v>6</v>
      </c>
      <c r="H146" s="43" t="s">
        <v>2</v>
      </c>
      <c r="I146" s="43" t="s">
        <v>3</v>
      </c>
      <c r="J146" s="43" t="s">
        <v>4</v>
      </c>
      <c r="K146" s="43" t="s">
        <v>9</v>
      </c>
      <c r="L146" s="43" t="s">
        <v>8</v>
      </c>
      <c r="M146" s="43" t="s">
        <v>25</v>
      </c>
      <c r="N146" s="43" t="s">
        <v>7</v>
      </c>
      <c r="O146" s="43" t="s">
        <v>89</v>
      </c>
      <c r="P146" s="25"/>
      <c r="Q146" s="43" t="s">
        <v>5</v>
      </c>
      <c r="R146" s="43" t="s">
        <v>91</v>
      </c>
      <c r="T146" s="43" t="s">
        <v>10</v>
      </c>
    </row>
    <row r="147" spans="2:20" x14ac:dyDescent="0.3">
      <c r="B147" s="3">
        <v>2016</v>
      </c>
      <c r="C147" s="51">
        <f>Inputs_Summary!E$19*C40/1000000</f>
        <v>1.186581624139819</v>
      </c>
      <c r="D147" s="51">
        <f>Inputs_Summary!F$19*D40/1000000</f>
        <v>0</v>
      </c>
      <c r="E147" s="51">
        <f>Inputs_Summary!G$19*E40/1000000</f>
        <v>0</v>
      </c>
      <c r="F147" s="51">
        <f>Inputs_Summary!H$19*F40/1000000</f>
        <v>0</v>
      </c>
      <c r="G147" s="51">
        <f>Inputs_Summary!I$19*G40/1000000</f>
        <v>0</v>
      </c>
      <c r="H147" s="51">
        <f>Inputs_Summary!J$19*H40/1000000</f>
        <v>0</v>
      </c>
      <c r="I147" s="51">
        <f>Inputs_Summary!K$19*I40/1000000</f>
        <v>6.6978467462469066E-3</v>
      </c>
      <c r="J147" s="51">
        <f>Inputs_Summary!L$19*J40/1000000</f>
        <v>0</v>
      </c>
      <c r="K147" s="51">
        <f>Inputs_Summary!M$19*K40/1000000</f>
        <v>0</v>
      </c>
      <c r="L147" s="51">
        <f>Inputs_Summary!N$19*L40/1000000</f>
        <v>8.739765331128805E-3</v>
      </c>
      <c r="M147" s="51">
        <f>Inputs_Summary!O$19*M40/1000000</f>
        <v>0</v>
      </c>
      <c r="N147" s="51">
        <f>Inputs_Summary!P$19*N40/1000000</f>
        <v>0</v>
      </c>
      <c r="O147" s="51">
        <f>Inputs_Summary!R$19*O40/1000000</f>
        <v>0</v>
      </c>
      <c r="P147" s="97"/>
      <c r="Q147" s="39">
        <f>G147+N147</f>
        <v>0</v>
      </c>
      <c r="R147" s="5">
        <f>SUM(K147:L147)</f>
        <v>8.739765331128805E-3</v>
      </c>
      <c r="T147" s="5">
        <f>SUM(C147:O147)</f>
        <v>1.2020192362171946</v>
      </c>
    </row>
    <row r="148" spans="2:20" x14ac:dyDescent="0.3">
      <c r="B148" s="3">
        <v>2030</v>
      </c>
      <c r="C148" s="51">
        <f>Inputs_Summary!E$19*C41/1000000</f>
        <v>15.900677704854655</v>
      </c>
      <c r="D148" s="51">
        <f>Inputs_Summary!F$19*D41/1000000</f>
        <v>0</v>
      </c>
      <c r="E148" s="51">
        <f>Inputs_Summary!G$19*E41/1000000</f>
        <v>0</v>
      </c>
      <c r="F148" s="51">
        <f>Inputs_Summary!H$19*F41/1000000</f>
        <v>0</v>
      </c>
      <c r="G148" s="51">
        <f>Inputs_Summary!I$19*G41/1000000</f>
        <v>0</v>
      </c>
      <c r="H148" s="51">
        <f>Inputs_Summary!J$19*H41/1000000</f>
        <v>0</v>
      </c>
      <c r="I148" s="51">
        <f>Inputs_Summary!K$19*I41/1000000</f>
        <v>0.33708167965703878</v>
      </c>
      <c r="J148" s="51">
        <f>Inputs_Summary!L$19*J41/1000000</f>
        <v>0</v>
      </c>
      <c r="K148" s="51">
        <f>Inputs_Summary!M$19*K41/1000000</f>
        <v>0</v>
      </c>
      <c r="L148" s="51">
        <f>Inputs_Summary!N$19*L41/1000000</f>
        <v>0.23292376703534459</v>
      </c>
      <c r="M148" s="51">
        <f>Inputs_Summary!O$19*M41/1000000</f>
        <v>0</v>
      </c>
      <c r="N148" s="51">
        <f>Inputs_Summary!P$19*N41/1000000</f>
        <v>6.1055765384502355E-4</v>
      </c>
      <c r="O148" s="51">
        <f>Inputs_Summary!R$19*O41/1000000</f>
        <v>0</v>
      </c>
      <c r="P148" s="97"/>
      <c r="Q148" s="39">
        <f>G148+N148</f>
        <v>6.1055765384502355E-4</v>
      </c>
      <c r="R148" s="5">
        <f>SUM(K148:L148)</f>
        <v>0.23292376703534459</v>
      </c>
      <c r="T148" s="5">
        <f t="shared" ref="T148:T150" si="69">SUM(C148:O148)</f>
        <v>16.471293709200886</v>
      </c>
    </row>
    <row r="149" spans="2:20" x14ac:dyDescent="0.3">
      <c r="B149" s="3">
        <v>2040</v>
      </c>
      <c r="C149" s="51">
        <f>Inputs_Summary!E$19*C42/1000000</f>
        <v>16.354371221101182</v>
      </c>
      <c r="D149" s="51">
        <f>Inputs_Summary!F$19*D42/1000000</f>
        <v>0</v>
      </c>
      <c r="E149" s="51">
        <f>Inputs_Summary!G$19*E42/1000000</f>
        <v>0</v>
      </c>
      <c r="F149" s="51">
        <f>Inputs_Summary!H$19*F42/1000000</f>
        <v>0</v>
      </c>
      <c r="G149" s="51">
        <f>Inputs_Summary!I$19*G42/1000000</f>
        <v>0</v>
      </c>
      <c r="H149" s="51">
        <f>Inputs_Summary!J$19*H42/1000000</f>
        <v>0</v>
      </c>
      <c r="I149" s="51">
        <f>Inputs_Summary!K$19*I42/1000000</f>
        <v>0.33791255681909527</v>
      </c>
      <c r="J149" s="51">
        <f>Inputs_Summary!L$19*J42/1000000</f>
        <v>0</v>
      </c>
      <c r="K149" s="51">
        <f>Inputs_Summary!M$19*K42/1000000</f>
        <v>0</v>
      </c>
      <c r="L149" s="51">
        <f>Inputs_Summary!N$19*L42/1000000</f>
        <v>0.2338935755714483</v>
      </c>
      <c r="M149" s="51">
        <f>Inputs_Summary!O$19*M42/1000000</f>
        <v>0</v>
      </c>
      <c r="N149" s="51">
        <f>Inputs_Summary!P$19*N42/1000000</f>
        <v>5.923110616140705E-4</v>
      </c>
      <c r="O149" s="51">
        <f>Inputs_Summary!R$19*O42/1000000</f>
        <v>0</v>
      </c>
      <c r="P149" s="97"/>
      <c r="Q149" s="39">
        <f>G149+N149</f>
        <v>5.923110616140705E-4</v>
      </c>
      <c r="R149" s="5">
        <f>SUM(K149:L149)</f>
        <v>0.2338935755714483</v>
      </c>
      <c r="T149" s="5">
        <f t="shared" si="69"/>
        <v>16.926769664553337</v>
      </c>
    </row>
    <row r="150" spans="2:20" x14ac:dyDescent="0.3">
      <c r="B150" s="3">
        <v>2050</v>
      </c>
      <c r="C150" s="51">
        <f>Inputs_Summary!E$19*C43/1000000</f>
        <v>16.285545013845574</v>
      </c>
      <c r="D150" s="51">
        <f>Inputs_Summary!F$19*D43/1000000</f>
        <v>0</v>
      </c>
      <c r="E150" s="51">
        <f>Inputs_Summary!G$19*E43/1000000</f>
        <v>0</v>
      </c>
      <c r="F150" s="51">
        <f>Inputs_Summary!H$19*F43/1000000</f>
        <v>0</v>
      </c>
      <c r="G150" s="51">
        <f>Inputs_Summary!I$19*G43/1000000</f>
        <v>0</v>
      </c>
      <c r="H150" s="51">
        <f>Inputs_Summary!J$19*H43/1000000</f>
        <v>0</v>
      </c>
      <c r="I150" s="51">
        <f>Inputs_Summary!K$19*I43/1000000</f>
        <v>0</v>
      </c>
      <c r="J150" s="51">
        <f>Inputs_Summary!L$19*J43/1000000</f>
        <v>0</v>
      </c>
      <c r="K150" s="51">
        <f>Inputs_Summary!M$19*K43/1000000</f>
        <v>0</v>
      </c>
      <c r="L150" s="51">
        <f>Inputs_Summary!N$19*L43/1000000</f>
        <v>0</v>
      </c>
      <c r="M150" s="51">
        <f>Inputs_Summary!O$19*M43/1000000</f>
        <v>0</v>
      </c>
      <c r="N150" s="51">
        <f>Inputs_Summary!P$19*N43/1000000</f>
        <v>5.7456890484365282E-4</v>
      </c>
      <c r="O150" s="51">
        <f>Inputs_Summary!R$19*O43/1000000</f>
        <v>0</v>
      </c>
      <c r="P150" s="97"/>
      <c r="Q150" s="39">
        <f>G150+N150</f>
        <v>5.7456890484365282E-4</v>
      </c>
      <c r="R150" s="5">
        <f>SUM(K150:L150)</f>
        <v>0</v>
      </c>
      <c r="T150" s="5">
        <f t="shared" si="69"/>
        <v>16.28611958275042</v>
      </c>
    </row>
    <row r="151" spans="2:20" x14ac:dyDescent="0.3"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28"/>
      <c r="Q151" s="5"/>
      <c r="R151" s="5"/>
      <c r="S151" s="5"/>
      <c r="T151" s="5"/>
    </row>
    <row r="152" spans="2:20" ht="28.8" x14ac:dyDescent="0.3">
      <c r="B152" s="43" t="s">
        <v>78</v>
      </c>
      <c r="C152" s="43" t="s">
        <v>0</v>
      </c>
      <c r="D152" s="43" t="s">
        <v>1</v>
      </c>
      <c r="E152" s="43" t="s">
        <v>28</v>
      </c>
      <c r="F152" s="2" t="s">
        <v>29</v>
      </c>
      <c r="G152" s="2" t="s">
        <v>6</v>
      </c>
      <c r="H152" s="43" t="s">
        <v>2</v>
      </c>
      <c r="I152" s="43" t="s">
        <v>3</v>
      </c>
      <c r="J152" s="43" t="s">
        <v>4</v>
      </c>
      <c r="K152" s="43" t="s">
        <v>9</v>
      </c>
      <c r="L152" s="43" t="s">
        <v>8</v>
      </c>
      <c r="M152" s="43" t="s">
        <v>25</v>
      </c>
      <c r="N152" s="43" t="s">
        <v>7</v>
      </c>
      <c r="O152" s="43" t="s">
        <v>89</v>
      </c>
      <c r="P152" s="25"/>
      <c r="Q152" s="43" t="s">
        <v>5</v>
      </c>
      <c r="R152" s="43" t="s">
        <v>91</v>
      </c>
      <c r="T152" s="43" t="s">
        <v>10</v>
      </c>
    </row>
    <row r="153" spans="2:20" x14ac:dyDescent="0.3">
      <c r="B153" s="3">
        <v>2016</v>
      </c>
      <c r="C153" s="51">
        <f>Inputs_Summary!E$22*C46/1000000</f>
        <v>0</v>
      </c>
      <c r="D153" s="51">
        <f>Inputs_Summary!F$22*D46/1000000</f>
        <v>0</v>
      </c>
      <c r="E153" s="51">
        <f>Inputs_Summary!G$22*E46/1000000</f>
        <v>0</v>
      </c>
      <c r="F153" s="51">
        <f>Inputs_Summary!H$22*F46/1000000</f>
        <v>0</v>
      </c>
      <c r="G153" s="51">
        <f>Inputs_Summary!I$22*G46/1000000</f>
        <v>0</v>
      </c>
      <c r="H153" s="51">
        <f>Inputs_Summary!J$22*H46/1000000</f>
        <v>0</v>
      </c>
      <c r="I153" s="51">
        <f>Inputs_Summary!K$22*I46/1000000</f>
        <v>0</v>
      </c>
      <c r="J153" s="51">
        <f>Inputs_Summary!L$22*J46/1000000</f>
        <v>0</v>
      </c>
      <c r="K153" s="51">
        <f>Inputs_Summary!M$22*K46/1000000</f>
        <v>0</v>
      </c>
      <c r="L153" s="51">
        <f>Inputs_Summary!N$22*L46/1000000</f>
        <v>0</v>
      </c>
      <c r="M153" s="51">
        <f>Inputs_Summary!O$22*M46/1000000</f>
        <v>0</v>
      </c>
      <c r="N153" s="51">
        <f>Inputs_Summary!P$22*N46/1000000</f>
        <v>0</v>
      </c>
      <c r="O153" s="51">
        <f>Inputs_Summary!R$22*O46/1000000</f>
        <v>0</v>
      </c>
      <c r="P153" s="97"/>
      <c r="Q153" s="39">
        <f>G153+N153</f>
        <v>0</v>
      </c>
      <c r="R153" s="5">
        <f>SUM(K153:L153)</f>
        <v>0</v>
      </c>
      <c r="T153" s="5">
        <f>SUM(C153:O153)</f>
        <v>0</v>
      </c>
    </row>
    <row r="154" spans="2:20" x14ac:dyDescent="0.3">
      <c r="B154" s="3">
        <v>2030</v>
      </c>
      <c r="C154" s="51">
        <f>Inputs_Summary!E$22*C47/1000000</f>
        <v>0</v>
      </c>
      <c r="D154" s="51">
        <f>Inputs_Summary!F$22*D47/1000000</f>
        <v>0</v>
      </c>
      <c r="E154" s="51">
        <f>Inputs_Summary!G$22*E47/1000000</f>
        <v>0.29311785666647533</v>
      </c>
      <c r="F154" s="51">
        <f>Inputs_Summary!H$22*F47/1000000</f>
        <v>0</v>
      </c>
      <c r="G154" s="51">
        <f>Inputs_Summary!I$22*G47/1000000</f>
        <v>0</v>
      </c>
      <c r="H154" s="51">
        <f>Inputs_Summary!J$22*H47/1000000</f>
        <v>0</v>
      </c>
      <c r="I154" s="51">
        <f>Inputs_Summary!K$22*I47/1000000</f>
        <v>0</v>
      </c>
      <c r="J154" s="51">
        <f>Inputs_Summary!L$22*J47/1000000</f>
        <v>0</v>
      </c>
      <c r="K154" s="51">
        <f>Inputs_Summary!M$22*K47/1000000</f>
        <v>0</v>
      </c>
      <c r="L154" s="51">
        <f>Inputs_Summary!N$22*L47/1000000</f>
        <v>0</v>
      </c>
      <c r="M154" s="51">
        <f>Inputs_Summary!O$22*M47/1000000</f>
        <v>0</v>
      </c>
      <c r="N154" s="51">
        <f>Inputs_Summary!P$22*N47/1000000</f>
        <v>0</v>
      </c>
      <c r="O154" s="51">
        <f>Inputs_Summary!R$22*O47/1000000</f>
        <v>0</v>
      </c>
      <c r="P154" s="97"/>
      <c r="Q154" s="39">
        <f>G154+N154</f>
        <v>0</v>
      </c>
      <c r="R154" s="5">
        <f>SUM(K154:L154)</f>
        <v>0</v>
      </c>
      <c r="T154" s="5">
        <f t="shared" ref="T154:T156" si="70">SUM(C154:O154)</f>
        <v>0.29311785666647533</v>
      </c>
    </row>
    <row r="155" spans="2:20" x14ac:dyDescent="0.3">
      <c r="B155" s="3">
        <v>2040</v>
      </c>
      <c r="C155" s="51">
        <f>Inputs_Summary!E$22*C48/1000000</f>
        <v>15.476081773980852</v>
      </c>
      <c r="D155" s="51">
        <f>Inputs_Summary!F$22*D48/1000000</f>
        <v>0</v>
      </c>
      <c r="E155" s="51">
        <f>Inputs_Summary!G$22*E48/1000000</f>
        <v>0.53313780068350258</v>
      </c>
      <c r="F155" s="51">
        <f>Inputs_Summary!H$22*F48/1000000</f>
        <v>0</v>
      </c>
      <c r="G155" s="51">
        <f>Inputs_Summary!I$22*G48/1000000</f>
        <v>0</v>
      </c>
      <c r="H155" s="51">
        <f>Inputs_Summary!J$22*H48/1000000</f>
        <v>0</v>
      </c>
      <c r="I155" s="51">
        <f>Inputs_Summary!K$22*I48/1000000</f>
        <v>0</v>
      </c>
      <c r="J155" s="51">
        <f>Inputs_Summary!L$22*J48/1000000</f>
        <v>0</v>
      </c>
      <c r="K155" s="51">
        <f>Inputs_Summary!M$22*K48/1000000</f>
        <v>0</v>
      </c>
      <c r="L155" s="51">
        <f>Inputs_Summary!N$22*L48/1000000</f>
        <v>0</v>
      </c>
      <c r="M155" s="51">
        <f>Inputs_Summary!O$22*M48/1000000</f>
        <v>0</v>
      </c>
      <c r="N155" s="51">
        <f>Inputs_Summary!P$22*N48/1000000</f>
        <v>0</v>
      </c>
      <c r="O155" s="51">
        <f>Inputs_Summary!R$22*O48/1000000</f>
        <v>0</v>
      </c>
      <c r="P155" s="97"/>
      <c r="Q155" s="39">
        <f>G155+N155</f>
        <v>0</v>
      </c>
      <c r="R155" s="5">
        <f>SUM(K155:L155)</f>
        <v>0</v>
      </c>
      <c r="T155" s="5">
        <f t="shared" si="70"/>
        <v>16.009219574664353</v>
      </c>
    </row>
    <row r="156" spans="2:20" x14ac:dyDescent="0.3">
      <c r="B156" s="3">
        <v>2050</v>
      </c>
      <c r="C156" s="51">
        <f>Inputs_Summary!E$22*C49/1000000</f>
        <v>28.711098268126733</v>
      </c>
      <c r="D156" s="51">
        <f>Inputs_Summary!F$22*D49/1000000</f>
        <v>0</v>
      </c>
      <c r="E156" s="51">
        <f>Inputs_Summary!G$22*E49/1000000</f>
        <v>0.60966645555493659</v>
      </c>
      <c r="F156" s="51">
        <f>Inputs_Summary!H$22*F49/1000000</f>
        <v>0</v>
      </c>
      <c r="G156" s="51">
        <f>Inputs_Summary!I$22*G49/1000000</f>
        <v>0</v>
      </c>
      <c r="H156" s="51">
        <f>Inputs_Summary!J$22*H49/1000000</f>
        <v>0</v>
      </c>
      <c r="I156" s="51">
        <f>Inputs_Summary!K$22*I49/1000000</f>
        <v>0</v>
      </c>
      <c r="J156" s="51">
        <f>Inputs_Summary!L$22*J49/1000000</f>
        <v>0</v>
      </c>
      <c r="K156" s="51">
        <f>Inputs_Summary!M$22*K49/1000000</f>
        <v>0</v>
      </c>
      <c r="L156" s="51">
        <f>Inputs_Summary!N$22*L49/1000000</f>
        <v>0</v>
      </c>
      <c r="M156" s="51">
        <f>Inputs_Summary!O$22*M49/1000000</f>
        <v>0</v>
      </c>
      <c r="N156" s="51">
        <f>Inputs_Summary!P$22*N49/1000000</f>
        <v>0</v>
      </c>
      <c r="O156" s="51">
        <f>Inputs_Summary!R$22*O49/1000000</f>
        <v>0</v>
      </c>
      <c r="P156" s="97"/>
      <c r="Q156" s="39">
        <f>G156+N156</f>
        <v>0</v>
      </c>
      <c r="R156" s="5">
        <f>SUM(K156:L156)</f>
        <v>0</v>
      </c>
      <c r="T156" s="5">
        <f t="shared" si="70"/>
        <v>29.32076472368167</v>
      </c>
    </row>
    <row r="157" spans="2:20" x14ac:dyDescent="0.3"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28"/>
    </row>
    <row r="158" spans="2:20" ht="28.8" x14ac:dyDescent="0.3">
      <c r="B158" s="43" t="s">
        <v>79</v>
      </c>
      <c r="C158" s="43" t="s">
        <v>0</v>
      </c>
      <c r="D158" s="43" t="s">
        <v>1</v>
      </c>
      <c r="E158" s="43" t="s">
        <v>28</v>
      </c>
      <c r="F158" s="2" t="s">
        <v>29</v>
      </c>
      <c r="G158" s="2" t="s">
        <v>6</v>
      </c>
      <c r="H158" s="43" t="s">
        <v>2</v>
      </c>
      <c r="I158" s="43" t="s">
        <v>3</v>
      </c>
      <c r="J158" s="43" t="s">
        <v>4</v>
      </c>
      <c r="K158" s="43" t="s">
        <v>9</v>
      </c>
      <c r="L158" s="43" t="s">
        <v>8</v>
      </c>
      <c r="M158" s="43" t="s">
        <v>25</v>
      </c>
      <c r="N158" s="43" t="s">
        <v>7</v>
      </c>
      <c r="O158" s="43" t="s">
        <v>89</v>
      </c>
      <c r="P158" s="25"/>
      <c r="Q158" s="43" t="s">
        <v>5</v>
      </c>
      <c r="R158" s="43" t="s">
        <v>91</v>
      </c>
      <c r="T158" s="43" t="s">
        <v>10</v>
      </c>
    </row>
    <row r="159" spans="2:20" x14ac:dyDescent="0.3">
      <c r="B159" s="3">
        <v>2016</v>
      </c>
      <c r="C159" s="51">
        <f t="shared" ref="C159:O162" si="71">C141+C147+C153</f>
        <v>281.71125988800048</v>
      </c>
      <c r="D159" s="51">
        <f t="shared" si="71"/>
        <v>0</v>
      </c>
      <c r="E159" s="51">
        <f t="shared" si="71"/>
        <v>1.4970319768567157E-2</v>
      </c>
      <c r="F159" s="51">
        <f t="shared" si="71"/>
        <v>0</v>
      </c>
      <c r="G159" s="51">
        <f t="shared" si="71"/>
        <v>0</v>
      </c>
      <c r="H159" s="51">
        <f t="shared" si="71"/>
        <v>0</v>
      </c>
      <c r="I159" s="51">
        <f t="shared" si="71"/>
        <v>7.2911440796656943E-2</v>
      </c>
      <c r="J159" s="51">
        <f t="shared" si="71"/>
        <v>0</v>
      </c>
      <c r="K159" s="51">
        <f t="shared" si="71"/>
        <v>0</v>
      </c>
      <c r="L159" s="51">
        <f t="shared" si="71"/>
        <v>0.36824754912149726</v>
      </c>
      <c r="M159" s="51">
        <f t="shared" si="71"/>
        <v>0</v>
      </c>
      <c r="N159" s="51">
        <f t="shared" si="71"/>
        <v>5.9887859519957903E-4</v>
      </c>
      <c r="O159" s="51">
        <f t="shared" si="71"/>
        <v>0</v>
      </c>
      <c r="P159" s="97"/>
      <c r="Q159" s="39">
        <f>G159+N159</f>
        <v>5.9887859519957903E-4</v>
      </c>
      <c r="R159" s="5">
        <f>SUM(K159:L159)</f>
        <v>0.36824754912149726</v>
      </c>
      <c r="T159" s="5">
        <f>SUM(C159:O159)</f>
        <v>282.16798807628243</v>
      </c>
    </row>
    <row r="160" spans="2:20" x14ac:dyDescent="0.3">
      <c r="B160" s="3">
        <v>2030</v>
      </c>
      <c r="C160" s="51">
        <f t="shared" ref="C160:N160" si="72">C142+C148+C154</f>
        <v>210.49154224098726</v>
      </c>
      <c r="D160" s="51">
        <f t="shared" si="72"/>
        <v>0</v>
      </c>
      <c r="E160" s="51">
        <f t="shared" si="72"/>
        <v>0.33724507981765683</v>
      </c>
      <c r="F160" s="51">
        <f t="shared" si="72"/>
        <v>0</v>
      </c>
      <c r="G160" s="51">
        <f t="shared" si="72"/>
        <v>0</v>
      </c>
      <c r="H160" s="51">
        <f t="shared" si="72"/>
        <v>0</v>
      </c>
      <c r="I160" s="51">
        <f t="shared" si="72"/>
        <v>0.40423690172378846</v>
      </c>
      <c r="J160" s="51">
        <f t="shared" si="72"/>
        <v>0</v>
      </c>
      <c r="K160" s="51">
        <f t="shared" si="72"/>
        <v>0</v>
      </c>
      <c r="L160" s="51">
        <f t="shared" si="72"/>
        <v>0.59434921469158009</v>
      </c>
      <c r="M160" s="51">
        <f t="shared" si="72"/>
        <v>0</v>
      </c>
      <c r="N160" s="51">
        <f t="shared" si="72"/>
        <v>1.102594092560091E-3</v>
      </c>
      <c r="O160" s="51">
        <f t="shared" si="71"/>
        <v>0</v>
      </c>
      <c r="P160" s="97"/>
      <c r="Q160" s="39">
        <f>G160+N160</f>
        <v>1.102594092560091E-3</v>
      </c>
      <c r="R160" s="5">
        <f>SUM(K160:L160)</f>
        <v>0.59434921469158009</v>
      </c>
      <c r="T160" s="5">
        <f t="shared" ref="T160:T162" si="73">SUM(C160:O160)</f>
        <v>211.82847603131285</v>
      </c>
    </row>
    <row r="161" spans="2:20" x14ac:dyDescent="0.3">
      <c r="B161" s="3">
        <v>2040</v>
      </c>
      <c r="C161" s="51">
        <f t="shared" ref="C161:N161" si="74">C143+C149+C155</f>
        <v>92.570837637802313</v>
      </c>
      <c r="D161" s="51">
        <f t="shared" si="74"/>
        <v>0</v>
      </c>
      <c r="E161" s="51">
        <f t="shared" si="74"/>
        <v>0.57767862842969997</v>
      </c>
      <c r="F161" s="51">
        <f t="shared" si="74"/>
        <v>0</v>
      </c>
      <c r="G161" s="51">
        <f t="shared" si="74"/>
        <v>0</v>
      </c>
      <c r="H161" s="51">
        <f t="shared" si="74"/>
        <v>0</v>
      </c>
      <c r="I161" s="51">
        <f t="shared" si="74"/>
        <v>0.40547900006323678</v>
      </c>
      <c r="J161" s="51">
        <f t="shared" si="74"/>
        <v>0</v>
      </c>
      <c r="K161" s="51">
        <f t="shared" si="74"/>
        <v>0</v>
      </c>
      <c r="L161" s="51">
        <f t="shared" si="74"/>
        <v>0.60137548962717413</v>
      </c>
      <c r="M161" s="51">
        <f t="shared" si="74"/>
        <v>0</v>
      </c>
      <c r="N161" s="51">
        <f t="shared" si="74"/>
        <v>1.0817861572917542E-3</v>
      </c>
      <c r="O161" s="51">
        <f t="shared" si="71"/>
        <v>0</v>
      </c>
      <c r="P161" s="97"/>
      <c r="Q161" s="39">
        <f>G161+N161</f>
        <v>1.0817861572917542E-3</v>
      </c>
      <c r="R161" s="5">
        <f>SUM(K161:L161)</f>
        <v>0.60137548962717413</v>
      </c>
      <c r="T161" s="5">
        <f t="shared" si="73"/>
        <v>94.156452542079705</v>
      </c>
    </row>
    <row r="162" spans="2:20" x14ac:dyDescent="0.3">
      <c r="B162" s="3">
        <v>2050</v>
      </c>
      <c r="C162" s="51">
        <f t="shared" ref="C162:N162" si="75">C144+C150+C156</f>
        <v>44.996643281972311</v>
      </c>
      <c r="D162" s="51">
        <f t="shared" si="75"/>
        <v>0</v>
      </c>
      <c r="E162" s="51">
        <f t="shared" si="75"/>
        <v>0.65343138735469608</v>
      </c>
      <c r="F162" s="51">
        <f t="shared" si="75"/>
        <v>0</v>
      </c>
      <c r="G162" s="51">
        <f t="shared" si="75"/>
        <v>0</v>
      </c>
      <c r="H162" s="51">
        <f t="shared" si="75"/>
        <v>0</v>
      </c>
      <c r="I162" s="51">
        <f t="shared" si="75"/>
        <v>0</v>
      </c>
      <c r="J162" s="51">
        <f t="shared" si="75"/>
        <v>0</v>
      </c>
      <c r="K162" s="51">
        <f t="shared" si="75"/>
        <v>0</v>
      </c>
      <c r="L162" s="51">
        <f t="shared" si="75"/>
        <v>0.36429968470957486</v>
      </c>
      <c r="M162" s="51">
        <f t="shared" si="75"/>
        <v>0</v>
      </c>
      <c r="N162" s="51">
        <f t="shared" si="75"/>
        <v>1.0669111580554119E-3</v>
      </c>
      <c r="O162" s="51">
        <f t="shared" si="71"/>
        <v>0</v>
      </c>
      <c r="P162" s="97"/>
      <c r="Q162" s="39">
        <f>G162+N162</f>
        <v>1.0669111580554119E-3</v>
      </c>
      <c r="R162" s="5">
        <f>SUM(K162:L162)</f>
        <v>0.36429968470957486</v>
      </c>
      <c r="T162" s="5">
        <f t="shared" si="73"/>
        <v>46.015441265194632</v>
      </c>
    </row>
    <row r="163" spans="2:20" x14ac:dyDescent="0.3"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28"/>
    </row>
    <row r="164" spans="2:20" x14ac:dyDescent="0.3">
      <c r="B164" s="3">
        <v>2016</v>
      </c>
      <c r="C164" s="23">
        <f t="shared" ref="C164:N164" si="76">IFERROR(C159/$T159,0)</f>
        <v>0.9983813607227533</v>
      </c>
      <c r="D164" s="23">
        <f t="shared" si="76"/>
        <v>0</v>
      </c>
      <c r="E164" s="23">
        <f t="shared" si="76"/>
        <v>5.3054635540442739E-5</v>
      </c>
      <c r="F164" s="23">
        <f t="shared" si="76"/>
        <v>0</v>
      </c>
      <c r="G164" s="23">
        <f t="shared" si="76"/>
        <v>0</v>
      </c>
      <c r="H164" s="23">
        <f t="shared" si="76"/>
        <v>0</v>
      </c>
      <c r="I164" s="23">
        <f t="shared" si="76"/>
        <v>2.5839728061903951E-4</v>
      </c>
      <c r="J164" s="23">
        <f t="shared" si="76"/>
        <v>0</v>
      </c>
      <c r="K164" s="23">
        <f t="shared" si="76"/>
        <v>0</v>
      </c>
      <c r="L164" s="23">
        <f t="shared" si="76"/>
        <v>1.3050649424552858E-3</v>
      </c>
      <c r="M164" s="23">
        <f t="shared" si="76"/>
        <v>0</v>
      </c>
      <c r="N164" s="23">
        <f t="shared" si="76"/>
        <v>2.1224186318317433E-6</v>
      </c>
      <c r="O164" s="23">
        <f t="shared" ref="O164:O167" si="77">IFERROR(O159/$T159,0)</f>
        <v>0</v>
      </c>
      <c r="P164" s="26"/>
      <c r="Q164" s="7">
        <f t="shared" ref="Q164:R167" si="78">Q159/$T159</f>
        <v>2.1224186318317433E-6</v>
      </c>
      <c r="R164" s="7">
        <f t="shared" si="78"/>
        <v>1.3050649424552858E-3</v>
      </c>
      <c r="T164" s="8">
        <f>SUM(C164:O164)</f>
        <v>0.99999999999999989</v>
      </c>
    </row>
    <row r="165" spans="2:20" x14ac:dyDescent="0.3">
      <c r="B165" s="3">
        <v>2030</v>
      </c>
      <c r="C165" s="23">
        <f t="shared" ref="C165:N165" si="79">IFERROR(C160/$T160,0)</f>
        <v>0.9936886021399316</v>
      </c>
      <c r="D165" s="23">
        <f t="shared" si="79"/>
        <v>0</v>
      </c>
      <c r="E165" s="23">
        <f t="shared" si="79"/>
        <v>1.5920667803312936E-3</v>
      </c>
      <c r="F165" s="23">
        <f t="shared" si="79"/>
        <v>0</v>
      </c>
      <c r="G165" s="23">
        <f t="shared" si="79"/>
        <v>0</v>
      </c>
      <c r="H165" s="23">
        <f t="shared" si="79"/>
        <v>0</v>
      </c>
      <c r="I165" s="23">
        <f t="shared" si="79"/>
        <v>1.9083218144100393E-3</v>
      </c>
      <c r="J165" s="23">
        <f t="shared" si="79"/>
        <v>0</v>
      </c>
      <c r="K165" s="23">
        <f t="shared" si="79"/>
        <v>0</v>
      </c>
      <c r="L165" s="23">
        <f t="shared" si="79"/>
        <v>2.805804138456448E-3</v>
      </c>
      <c r="M165" s="23">
        <f t="shared" si="79"/>
        <v>0</v>
      </c>
      <c r="N165" s="23">
        <f t="shared" si="79"/>
        <v>5.2051268706531393E-6</v>
      </c>
      <c r="O165" s="23">
        <f t="shared" si="77"/>
        <v>0</v>
      </c>
      <c r="P165" s="26"/>
      <c r="Q165" s="7">
        <f t="shared" si="78"/>
        <v>5.2051268706531393E-6</v>
      </c>
      <c r="R165" s="7">
        <f t="shared" si="78"/>
        <v>2.805804138456448E-3</v>
      </c>
      <c r="T165" s="8">
        <f t="shared" ref="T165:T167" si="80">SUM(C165:O165)</f>
        <v>1</v>
      </c>
    </row>
    <row r="166" spans="2:20" x14ac:dyDescent="0.3">
      <c r="B166" s="3">
        <v>2040</v>
      </c>
      <c r="C166" s="23">
        <f t="shared" ref="C166:N166" si="81">IFERROR(C161/$T161,0)</f>
        <v>0.98315978500178991</v>
      </c>
      <c r="D166" s="23">
        <f t="shared" si="81"/>
        <v>0</v>
      </c>
      <c r="E166" s="23">
        <f t="shared" si="81"/>
        <v>6.1353057898132701E-3</v>
      </c>
      <c r="F166" s="23">
        <f t="shared" si="81"/>
        <v>0</v>
      </c>
      <c r="G166" s="23">
        <f t="shared" si="81"/>
        <v>0</v>
      </c>
      <c r="H166" s="23">
        <f t="shared" si="81"/>
        <v>0</v>
      </c>
      <c r="I166" s="23">
        <f t="shared" si="81"/>
        <v>4.3064387953871044E-3</v>
      </c>
      <c r="J166" s="23">
        <f t="shared" si="81"/>
        <v>0</v>
      </c>
      <c r="K166" s="23">
        <f t="shared" si="81"/>
        <v>0</v>
      </c>
      <c r="L166" s="23">
        <f t="shared" si="81"/>
        <v>6.3869811721975383E-3</v>
      </c>
      <c r="M166" s="23">
        <f t="shared" si="81"/>
        <v>0</v>
      </c>
      <c r="N166" s="23">
        <f t="shared" si="81"/>
        <v>1.1489240812341462E-5</v>
      </c>
      <c r="O166" s="23">
        <f t="shared" si="77"/>
        <v>0</v>
      </c>
      <c r="P166" s="26"/>
      <c r="Q166" s="7">
        <f t="shared" si="78"/>
        <v>1.1489240812341462E-5</v>
      </c>
      <c r="R166" s="7">
        <f t="shared" si="78"/>
        <v>6.3869811721975383E-3</v>
      </c>
      <c r="T166" s="8">
        <f t="shared" si="80"/>
        <v>1</v>
      </c>
    </row>
    <row r="167" spans="2:20" x14ac:dyDescent="0.3">
      <c r="B167" s="3">
        <v>2050</v>
      </c>
      <c r="C167" s="23">
        <f t="shared" ref="C167:N167" si="82">IFERROR(C162/$T162,0)</f>
        <v>0.97785964982165841</v>
      </c>
      <c r="D167" s="23">
        <f t="shared" si="82"/>
        <v>0</v>
      </c>
      <c r="E167" s="23">
        <f t="shared" si="82"/>
        <v>1.42002634200303E-2</v>
      </c>
      <c r="F167" s="23">
        <f t="shared" si="82"/>
        <v>0</v>
      </c>
      <c r="G167" s="23">
        <f t="shared" si="82"/>
        <v>0</v>
      </c>
      <c r="H167" s="23">
        <f t="shared" si="82"/>
        <v>0</v>
      </c>
      <c r="I167" s="23">
        <f t="shared" si="82"/>
        <v>0</v>
      </c>
      <c r="J167" s="23">
        <f t="shared" si="82"/>
        <v>0</v>
      </c>
      <c r="K167" s="23">
        <f t="shared" si="82"/>
        <v>0</v>
      </c>
      <c r="L167" s="23">
        <f t="shared" si="82"/>
        <v>7.9169008205322924E-3</v>
      </c>
      <c r="M167" s="23">
        <f t="shared" si="82"/>
        <v>0</v>
      </c>
      <c r="N167" s="23">
        <f t="shared" si="82"/>
        <v>2.3185937779160382E-5</v>
      </c>
      <c r="O167" s="23">
        <f t="shared" si="77"/>
        <v>0</v>
      </c>
      <c r="P167" s="26"/>
      <c r="Q167" s="7">
        <f t="shared" si="78"/>
        <v>2.3185937779160382E-5</v>
      </c>
      <c r="R167" s="7">
        <f t="shared" si="78"/>
        <v>7.9169008205322924E-3</v>
      </c>
      <c r="T167" s="8">
        <f t="shared" si="80"/>
        <v>1.0000000000000002</v>
      </c>
    </row>
    <row r="168" spans="2:20" s="11" customFormat="1" x14ac:dyDescent="0.3">
      <c r="C168" s="12"/>
      <c r="D168" s="12"/>
      <c r="E168" s="14"/>
      <c r="F168" s="14"/>
      <c r="G168" s="14"/>
      <c r="H168" s="16"/>
      <c r="I168" s="14"/>
      <c r="J168" s="14"/>
      <c r="K168" s="16"/>
      <c r="L168" s="14"/>
      <c r="M168" s="16"/>
      <c r="N168" s="20"/>
      <c r="O168" s="20"/>
      <c r="P168" s="20"/>
    </row>
    <row r="169" spans="2:20" s="9" customFormat="1" ht="21" x14ac:dyDescent="0.4">
      <c r="B169" s="10" t="s">
        <v>18</v>
      </c>
    </row>
    <row r="170" spans="2:20" s="32" customFormat="1" x14ac:dyDescent="0.3">
      <c r="B170" s="43"/>
      <c r="C170" s="40"/>
      <c r="D170" s="40"/>
      <c r="E170" s="40"/>
      <c r="P170" s="58"/>
    </row>
    <row r="171" spans="2:20" s="32" customFormat="1" ht="15.75" customHeight="1" x14ac:dyDescent="0.3">
      <c r="B171" s="33" t="s">
        <v>21</v>
      </c>
      <c r="C171" s="93">
        <f>Inputs_Summary!E27</f>
        <v>547</v>
      </c>
      <c r="D171" s="93">
        <f>Inputs_Summary!F27</f>
        <v>0</v>
      </c>
      <c r="E171" s="93">
        <f>Inputs_Summary!G27</f>
        <v>0</v>
      </c>
      <c r="F171" s="93">
        <f>Inputs_Summary!H27</f>
        <v>0</v>
      </c>
      <c r="G171" s="93">
        <f>Inputs_Summary!I27</f>
        <v>0</v>
      </c>
      <c r="H171" s="93">
        <f>Inputs_Summary!J27</f>
        <v>0</v>
      </c>
      <c r="I171" s="93">
        <f>Inputs_Summary!K27</f>
        <v>0</v>
      </c>
      <c r="J171" s="93">
        <f>Inputs_Summary!L27</f>
        <v>0</v>
      </c>
      <c r="K171" s="93">
        <f>Inputs_Summary!M27</f>
        <v>0</v>
      </c>
      <c r="L171" s="93">
        <f>Inputs_Summary!N27</f>
        <v>0</v>
      </c>
      <c r="M171" s="93">
        <f>Inputs_Summary!O27</f>
        <v>0</v>
      </c>
      <c r="N171" s="93">
        <f>Inputs_Summary!P27</f>
        <v>0</v>
      </c>
      <c r="O171" s="93">
        <f>Inputs_Summary!Q27</f>
        <v>0</v>
      </c>
      <c r="P171" s="99"/>
    </row>
    <row r="172" spans="2:20" s="32" customFormat="1" x14ac:dyDescent="0.3">
      <c r="B172" s="33" t="s">
        <v>19</v>
      </c>
      <c r="C172" s="93">
        <f>Inputs_Summary!E28</f>
        <v>650</v>
      </c>
      <c r="D172" s="93">
        <f>Inputs_Summary!F28</f>
        <v>650</v>
      </c>
      <c r="E172" s="93">
        <f>Inputs_Summary!G28</f>
        <v>0</v>
      </c>
      <c r="F172" s="93">
        <f>Inputs_Summary!H28</f>
        <v>161</v>
      </c>
      <c r="G172" s="93">
        <f>Inputs_Summary!I28</f>
        <v>0</v>
      </c>
      <c r="H172" s="93">
        <f>Inputs_Summary!J28</f>
        <v>0</v>
      </c>
      <c r="I172" s="93">
        <f>Inputs_Summary!K28</f>
        <v>0</v>
      </c>
      <c r="J172" s="93">
        <f>Inputs_Summary!L28</f>
        <v>0</v>
      </c>
      <c r="K172" s="93">
        <f>Inputs_Summary!M28</f>
        <v>0</v>
      </c>
      <c r="L172" s="93">
        <f>Inputs_Summary!N28</f>
        <v>0</v>
      </c>
      <c r="M172" s="93">
        <f>Inputs_Summary!O28</f>
        <v>0</v>
      </c>
      <c r="N172" s="93">
        <f>Inputs_Summary!P28</f>
        <v>201</v>
      </c>
      <c r="O172" s="93">
        <f>Inputs_Summary!Q28</f>
        <v>0</v>
      </c>
      <c r="P172" s="99"/>
    </row>
    <row r="173" spans="2:20" s="32" customFormat="1" x14ac:dyDescent="0.3">
      <c r="B173" s="33" t="s">
        <v>20</v>
      </c>
      <c r="C173" s="94">
        <f>Inputs_Summary!E29</f>
        <v>0.26832454873646205</v>
      </c>
      <c r="D173" s="94">
        <f>Inputs_Summary!F29</f>
        <v>0.12287246155234656</v>
      </c>
      <c r="E173" s="94">
        <f>Inputs_Summary!G29</f>
        <v>0.95</v>
      </c>
      <c r="F173" s="94">
        <f>Inputs_Summary!H29</f>
        <v>2.5</v>
      </c>
      <c r="G173" s="94">
        <f>Inputs_Summary!I29</f>
        <v>0.3</v>
      </c>
      <c r="H173" s="94">
        <f>Inputs_Summary!J29</f>
        <v>0.93</v>
      </c>
      <c r="I173" s="94">
        <f>Inputs_Summary!K29</f>
        <v>3.3</v>
      </c>
      <c r="J173" s="94">
        <f>Inputs_Summary!L29</f>
        <v>1.7</v>
      </c>
      <c r="K173" s="94">
        <f>Inputs_Summary!M29</f>
        <v>1.107</v>
      </c>
      <c r="L173" s="94">
        <f>Inputs_Summary!N29</f>
        <v>1.65</v>
      </c>
      <c r="M173" s="94">
        <f>Inputs_Summary!O29</f>
        <v>1.51</v>
      </c>
      <c r="N173" s="94">
        <f>Inputs_Summary!P29</f>
        <v>0.05</v>
      </c>
      <c r="O173" s="94">
        <f>Inputs_Summary!Q29</f>
        <v>0</v>
      </c>
      <c r="P173" s="100"/>
    </row>
    <row r="174" spans="2:20" s="58" customFormat="1" x14ac:dyDescent="0.3">
      <c r="B174" s="67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</row>
    <row r="175" spans="2:20" ht="28.8" x14ac:dyDescent="0.3">
      <c r="B175" s="43" t="s">
        <v>45</v>
      </c>
      <c r="C175" s="43" t="s">
        <v>0</v>
      </c>
      <c r="D175" s="43" t="s">
        <v>1</v>
      </c>
      <c r="E175" s="43" t="s">
        <v>28</v>
      </c>
      <c r="F175" s="2" t="s">
        <v>29</v>
      </c>
      <c r="G175" s="2" t="s">
        <v>6</v>
      </c>
      <c r="H175" s="43" t="s">
        <v>2</v>
      </c>
      <c r="I175" s="43" t="s">
        <v>3</v>
      </c>
      <c r="J175" s="43" t="s">
        <v>4</v>
      </c>
      <c r="K175" s="43" t="s">
        <v>9</v>
      </c>
      <c r="L175" s="43" t="s">
        <v>8</v>
      </c>
      <c r="M175" s="43" t="s">
        <v>25</v>
      </c>
      <c r="N175" s="43" t="s">
        <v>7</v>
      </c>
      <c r="O175" s="43" t="s">
        <v>89</v>
      </c>
      <c r="P175" s="25"/>
      <c r="Q175" s="43" t="s">
        <v>5</v>
      </c>
      <c r="R175" s="43" t="s">
        <v>91</v>
      </c>
      <c r="T175" s="43" t="s">
        <v>10</v>
      </c>
    </row>
    <row r="176" spans="2:20" x14ac:dyDescent="0.3">
      <c r="B176" s="3">
        <v>2016</v>
      </c>
      <c r="C176" s="19">
        <f t="shared" ref="C176:O176" si="83">((C$172+C$171)*C4+C$173*C34*1000)/1000000</f>
        <v>95.4358045170775</v>
      </c>
      <c r="D176" s="19">
        <f t="shared" si="83"/>
        <v>3.0206166863931165</v>
      </c>
      <c r="E176" s="19">
        <f t="shared" si="83"/>
        <v>0.71827291818882821</v>
      </c>
      <c r="F176" s="19">
        <f t="shared" si="83"/>
        <v>5.6112431781664789</v>
      </c>
      <c r="G176" s="19">
        <f t="shared" si="83"/>
        <v>4.7397372806457199</v>
      </c>
      <c r="H176" s="19">
        <f t="shared" si="83"/>
        <v>3.7406611452973988</v>
      </c>
      <c r="I176" s="19">
        <f t="shared" si="83"/>
        <v>2.7313107545794142</v>
      </c>
      <c r="J176" s="19">
        <f t="shared" si="83"/>
        <v>4.4864465988215327</v>
      </c>
      <c r="K176" s="19">
        <f t="shared" si="83"/>
        <v>0</v>
      </c>
      <c r="L176" s="19">
        <f t="shared" si="83"/>
        <v>2.6131623050841757</v>
      </c>
      <c r="M176" s="19">
        <f t="shared" si="83"/>
        <v>0</v>
      </c>
      <c r="N176" s="19">
        <f t="shared" si="83"/>
        <v>0.46729964879989472</v>
      </c>
      <c r="O176" s="19">
        <f t="shared" si="83"/>
        <v>0</v>
      </c>
      <c r="P176" s="62"/>
      <c r="Q176" s="39">
        <f>G176+N176</f>
        <v>5.2070369294456142</v>
      </c>
      <c r="R176" s="5">
        <f>SUM(K176:L176)</f>
        <v>2.6131623050841757</v>
      </c>
      <c r="T176" s="5">
        <f>SUM(C176:O176)</f>
        <v>123.56455503305405</v>
      </c>
    </row>
    <row r="177" spans="2:23" x14ac:dyDescent="0.3">
      <c r="B177" s="3">
        <v>2030</v>
      </c>
      <c r="C177" s="19">
        <f t="shared" ref="C177:O177" si="84">((C$172+C$171)*C5+C$173*C35*1000)/1000000</f>
        <v>63.886139107566521</v>
      </c>
      <c r="D177" s="19">
        <f t="shared" si="84"/>
        <v>3.0041834609831284</v>
      </c>
      <c r="E177" s="19">
        <f t="shared" si="84"/>
        <v>2.1172152522031533</v>
      </c>
      <c r="F177" s="19">
        <f t="shared" si="84"/>
        <v>1.0257845375867229</v>
      </c>
      <c r="G177" s="19">
        <f t="shared" si="84"/>
        <v>3.8481655803984376</v>
      </c>
      <c r="H177" s="19">
        <f t="shared" si="84"/>
        <v>3.8939115055152933</v>
      </c>
      <c r="I177" s="19">
        <f t="shared" si="84"/>
        <v>2.7701529102534237</v>
      </c>
      <c r="J177" s="19">
        <f t="shared" si="84"/>
        <v>4.4597432102772814</v>
      </c>
      <c r="K177" s="19">
        <f t="shared" si="84"/>
        <v>0</v>
      </c>
      <c r="L177" s="19">
        <f t="shared" si="84"/>
        <v>2.6271012715100817</v>
      </c>
      <c r="M177" s="19">
        <f t="shared" si="84"/>
        <v>0</v>
      </c>
      <c r="N177" s="19">
        <f t="shared" si="84"/>
        <v>0.44058910967876685</v>
      </c>
      <c r="O177" s="19">
        <f t="shared" si="84"/>
        <v>0</v>
      </c>
      <c r="P177" s="62"/>
      <c r="Q177" s="39">
        <f>G177+N177</f>
        <v>4.2887546900772042</v>
      </c>
      <c r="R177" s="5">
        <f>SUM(K177:L177)</f>
        <v>2.6271012715100817</v>
      </c>
      <c r="T177" s="5">
        <f t="shared" ref="T177:T179" si="85">SUM(C177:O177)</f>
        <v>88.072985945972817</v>
      </c>
    </row>
    <row r="178" spans="2:23" x14ac:dyDescent="0.3">
      <c r="B178" s="3">
        <v>2040</v>
      </c>
      <c r="C178" s="19">
        <f t="shared" ref="C178:O178" si="86">((C$172+C$171)*C6+C$173*C36*1000)/1000000</f>
        <v>20.48717020787295</v>
      </c>
      <c r="D178" s="19">
        <f t="shared" si="86"/>
        <v>3.0124265271145521</v>
      </c>
      <c r="E178" s="19">
        <f t="shared" si="86"/>
        <v>2.1370599171155336</v>
      </c>
      <c r="F178" s="19">
        <f t="shared" si="86"/>
        <v>0.37269907076798031</v>
      </c>
      <c r="G178" s="19">
        <f t="shared" si="86"/>
        <v>3.8744253572517522</v>
      </c>
      <c r="H178" s="19">
        <f t="shared" si="86"/>
        <v>0</v>
      </c>
      <c r="I178" s="19">
        <f t="shared" si="86"/>
        <v>2.7871157838208367</v>
      </c>
      <c r="J178" s="19">
        <f t="shared" si="86"/>
        <v>1.3196947542676327</v>
      </c>
      <c r="K178" s="19">
        <f t="shared" si="86"/>
        <v>0</v>
      </c>
      <c r="L178" s="19">
        <f t="shared" si="86"/>
        <v>2.671124044898447</v>
      </c>
      <c r="M178" s="19">
        <f t="shared" si="86"/>
        <v>0</v>
      </c>
      <c r="N178" s="19">
        <f t="shared" si="86"/>
        <v>0.43994877391942094</v>
      </c>
      <c r="O178" s="19">
        <f t="shared" si="86"/>
        <v>0</v>
      </c>
      <c r="P178" s="62"/>
      <c r="Q178" s="39">
        <f>G178+N178</f>
        <v>4.3143741311711734</v>
      </c>
      <c r="R178" s="5">
        <f>SUM(K178:L178)</f>
        <v>2.671124044898447</v>
      </c>
      <c r="T178" s="5">
        <f t="shared" si="85"/>
        <v>37.1016644370291</v>
      </c>
    </row>
    <row r="179" spans="2:23" x14ac:dyDescent="0.3">
      <c r="B179" s="3">
        <v>2050</v>
      </c>
      <c r="C179" s="19">
        <f t="shared" ref="C179:O179" si="87">((C$172+C$171)*C7+C$173*C37*1000)/1000000</f>
        <v>0.80198999999999998</v>
      </c>
      <c r="D179" s="19">
        <f t="shared" si="87"/>
        <v>0</v>
      </c>
      <c r="E179" s="19">
        <f t="shared" si="87"/>
        <v>2.0998325863520955</v>
      </c>
      <c r="F179" s="19">
        <f t="shared" si="87"/>
        <v>0</v>
      </c>
      <c r="G179" s="19">
        <f t="shared" si="87"/>
        <v>3.872386816703981</v>
      </c>
      <c r="H179" s="19">
        <f t="shared" si="87"/>
        <v>0</v>
      </c>
      <c r="I179" s="19">
        <f t="shared" si="87"/>
        <v>0</v>
      </c>
      <c r="J179" s="19">
        <f t="shared" si="87"/>
        <v>0</v>
      </c>
      <c r="K179" s="19">
        <f t="shared" si="87"/>
        <v>0</v>
      </c>
      <c r="L179" s="19">
        <f t="shared" si="87"/>
        <v>2.6479933029550593</v>
      </c>
      <c r="M179" s="19">
        <f t="shared" si="87"/>
        <v>0</v>
      </c>
      <c r="N179" s="19">
        <f t="shared" si="87"/>
        <v>0.44066556330293982</v>
      </c>
      <c r="O179" s="19">
        <f t="shared" si="87"/>
        <v>0</v>
      </c>
      <c r="P179" s="62"/>
      <c r="Q179" s="39">
        <f>G179+N179</f>
        <v>4.3130523800069209</v>
      </c>
      <c r="R179" s="5">
        <f>SUM(K179:L179)</f>
        <v>2.6479933029550593</v>
      </c>
      <c r="T179" s="5">
        <f t="shared" si="85"/>
        <v>9.8628682693140757</v>
      </c>
    </row>
    <row r="180" spans="2:23" x14ac:dyDescent="0.3">
      <c r="B180" s="43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69"/>
      <c r="Q180" s="5"/>
      <c r="R180" s="5"/>
      <c r="S180" s="5"/>
      <c r="T180" s="5"/>
    </row>
    <row r="181" spans="2:23" s="32" customFormat="1" ht="15.75" customHeight="1" x14ac:dyDescent="0.3">
      <c r="B181" s="33" t="s">
        <v>21</v>
      </c>
      <c r="C181" s="93">
        <f>Inputs_Summary!E32</f>
        <v>4602</v>
      </c>
      <c r="D181" s="93">
        <f>Inputs_Summary!F32</f>
        <v>6454.9045250562804</v>
      </c>
      <c r="E181" s="93">
        <f>Inputs_Summary!G32</f>
        <v>901.10972649676557</v>
      </c>
      <c r="F181" s="93">
        <f>Inputs_Summary!H32</f>
        <v>794.35459770843181</v>
      </c>
      <c r="G181" s="93">
        <f>Inputs_Summary!I32</f>
        <v>0</v>
      </c>
      <c r="H181" s="93">
        <f>Inputs_Summary!J32</f>
        <v>0</v>
      </c>
      <c r="I181" s="93">
        <f>Inputs_Summary!K32</f>
        <v>0</v>
      </c>
      <c r="J181" s="93">
        <f>Inputs_Summary!L32</f>
        <v>0</v>
      </c>
      <c r="K181" s="93">
        <f>Inputs_Summary!M32</f>
        <v>2810</v>
      </c>
      <c r="L181" s="93">
        <f>Inputs_Summary!N32</f>
        <v>0</v>
      </c>
      <c r="M181" s="93">
        <f>Inputs_Summary!O32</f>
        <v>0</v>
      </c>
      <c r="N181" s="93">
        <f>Inputs_Summary!P32</f>
        <v>2328.2524449730454</v>
      </c>
      <c r="O181" s="93">
        <f>Inputs_Summary!Q32</f>
        <v>0</v>
      </c>
      <c r="P181" s="99"/>
    </row>
    <row r="182" spans="2:23" s="32" customFormat="1" x14ac:dyDescent="0.3">
      <c r="B182" s="33" t="s">
        <v>19</v>
      </c>
      <c r="C182" s="93">
        <f>Inputs_Summary!E33</f>
        <v>924</v>
      </c>
      <c r="D182" s="93">
        <f>Inputs_Summary!F33</f>
        <v>968.06859205776175</v>
      </c>
      <c r="E182" s="93">
        <f>Inputs_Summary!G33</f>
        <v>165.17328519855596</v>
      </c>
      <c r="F182" s="93">
        <f>Inputs_Summary!H33</f>
        <v>160.79783393501805</v>
      </c>
      <c r="G182" s="93">
        <f>Inputs_Summary!I33</f>
        <v>0</v>
      </c>
      <c r="H182" s="93">
        <f>Inputs_Summary!J33</f>
        <v>0</v>
      </c>
      <c r="I182" s="93">
        <f>Inputs_Summary!K33</f>
        <v>0</v>
      </c>
      <c r="J182" s="93">
        <f>Inputs_Summary!L33</f>
        <v>0</v>
      </c>
      <c r="K182" s="93">
        <f>Inputs_Summary!M33</f>
        <v>2373</v>
      </c>
      <c r="L182" s="93">
        <f>Inputs_Summary!N33</f>
        <v>0</v>
      </c>
      <c r="M182" s="93">
        <f>Inputs_Summary!O33</f>
        <v>0</v>
      </c>
      <c r="N182" s="93">
        <f>Inputs_Summary!P33</f>
        <v>201.27075812274367</v>
      </c>
      <c r="O182" s="93">
        <f>Inputs_Summary!Q33</f>
        <v>0</v>
      </c>
      <c r="P182" s="99"/>
    </row>
    <row r="183" spans="2:23" s="32" customFormat="1" x14ac:dyDescent="0.3">
      <c r="B183" s="33" t="s">
        <v>20</v>
      </c>
      <c r="C183" s="93">
        <f>Inputs_Summary!E34</f>
        <v>0.36168632057761729</v>
      </c>
      <c r="D183" s="93">
        <f>Inputs_Summary!F34</f>
        <v>0.12287246155234656</v>
      </c>
      <c r="E183" s="93">
        <f>Inputs_Summary!G34</f>
        <v>1.1311272563176895</v>
      </c>
      <c r="F183" s="93">
        <f>Inputs_Summary!H34</f>
        <v>1.730256498194946</v>
      </c>
      <c r="G183" s="93">
        <f>Inputs_Summary!I34</f>
        <v>1.24</v>
      </c>
      <c r="H183" s="93">
        <f>Inputs_Summary!J34</f>
        <v>0.70507456548359604</v>
      </c>
      <c r="I183" s="93">
        <f>Inputs_Summary!K34</f>
        <v>2.2907692307692309</v>
      </c>
      <c r="J183" s="93">
        <f>Inputs_Summary!L34</f>
        <v>0.79657730380457292</v>
      </c>
      <c r="K183" s="93">
        <f>Inputs_Summary!M34</f>
        <v>0.09</v>
      </c>
      <c r="L183" s="93">
        <f>Inputs_Summary!N34</f>
        <v>1.61</v>
      </c>
      <c r="M183" s="93">
        <f>Inputs_Summary!O34</f>
        <v>1.51</v>
      </c>
      <c r="N183" s="93">
        <f>Inputs_Summary!P34</f>
        <v>0</v>
      </c>
      <c r="O183" s="93">
        <f>Inputs_Summary!Q34</f>
        <v>0</v>
      </c>
      <c r="P183" s="99"/>
    </row>
    <row r="184" spans="2:23" s="58" customFormat="1" x14ac:dyDescent="0.3">
      <c r="B184" s="67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</row>
    <row r="185" spans="2:23" ht="28.8" x14ac:dyDescent="0.3">
      <c r="B185" s="43" t="s">
        <v>46</v>
      </c>
      <c r="C185" s="43" t="s">
        <v>0</v>
      </c>
      <c r="D185" s="43" t="s">
        <v>1</v>
      </c>
      <c r="E185" s="43" t="s">
        <v>28</v>
      </c>
      <c r="F185" s="2" t="s">
        <v>29</v>
      </c>
      <c r="G185" s="2" t="s">
        <v>6</v>
      </c>
      <c r="H185" s="43" t="s">
        <v>2</v>
      </c>
      <c r="I185" s="43" t="s">
        <v>3</v>
      </c>
      <c r="J185" s="43" t="s">
        <v>4</v>
      </c>
      <c r="K185" s="43" t="s">
        <v>9</v>
      </c>
      <c r="L185" s="43" t="s">
        <v>8</v>
      </c>
      <c r="M185" s="43" t="s">
        <v>25</v>
      </c>
      <c r="N185" s="43" t="s">
        <v>7</v>
      </c>
      <c r="O185" s="43" t="s">
        <v>89</v>
      </c>
      <c r="P185" s="25"/>
      <c r="Q185" s="43" t="s">
        <v>5</v>
      </c>
      <c r="R185" s="43" t="s">
        <v>91</v>
      </c>
      <c r="T185" s="43" t="s">
        <v>10</v>
      </c>
    </row>
    <row r="186" spans="2:23" x14ac:dyDescent="0.3">
      <c r="B186" s="3">
        <v>2016</v>
      </c>
      <c r="C186" s="19">
        <f t="shared" ref="C186:O186" si="88">((C$182+C$181)*C10+C$183*C40*1000)/1000000</f>
        <v>5.8476522671001927</v>
      </c>
      <c r="D186" s="19">
        <f t="shared" si="88"/>
        <v>0</v>
      </c>
      <c r="E186" s="19">
        <f t="shared" si="88"/>
        <v>0</v>
      </c>
      <c r="F186" s="19">
        <f t="shared" si="88"/>
        <v>0</v>
      </c>
      <c r="G186" s="19">
        <f t="shared" si="88"/>
        <v>0</v>
      </c>
      <c r="H186" s="19">
        <f t="shared" si="88"/>
        <v>0.33440904252740183</v>
      </c>
      <c r="I186" s="19">
        <f t="shared" si="88"/>
        <v>0.19179026548387781</v>
      </c>
      <c r="J186" s="19">
        <f t="shared" si="88"/>
        <v>0</v>
      </c>
      <c r="K186" s="19">
        <f t="shared" si="88"/>
        <v>0</v>
      </c>
      <c r="L186" s="19">
        <f t="shared" si="88"/>
        <v>6.1986881863953201E-2</v>
      </c>
      <c r="M186" s="19">
        <f t="shared" si="88"/>
        <v>0</v>
      </c>
      <c r="N186" s="19">
        <f t="shared" si="88"/>
        <v>0</v>
      </c>
      <c r="O186" s="19">
        <f t="shared" si="88"/>
        <v>0</v>
      </c>
      <c r="P186" s="62"/>
      <c r="Q186" s="39">
        <f>G186+N186</f>
        <v>0</v>
      </c>
      <c r="R186" s="5">
        <f>SUM(K186:L186)</f>
        <v>6.1986881863953201E-2</v>
      </c>
      <c r="T186" s="5">
        <f>SUM(C186:O186)</f>
        <v>6.4358384569754259</v>
      </c>
    </row>
    <row r="187" spans="2:23" x14ac:dyDescent="0.3">
      <c r="B187" s="3">
        <v>2030</v>
      </c>
      <c r="C187" s="19">
        <f t="shared" ref="C187:O187" si="89">((C$182+C$181)*C11+C$183*C41*1000)/1000000</f>
        <v>77.592289306317895</v>
      </c>
      <c r="D187" s="19">
        <f t="shared" si="89"/>
        <v>0</v>
      </c>
      <c r="E187" s="19">
        <f t="shared" si="89"/>
        <v>0</v>
      </c>
      <c r="F187" s="19">
        <f t="shared" si="89"/>
        <v>0</v>
      </c>
      <c r="G187" s="19">
        <f t="shared" si="89"/>
        <v>0.25042451582363884</v>
      </c>
      <c r="H187" s="19">
        <f t="shared" si="89"/>
        <v>6.3300389161955506</v>
      </c>
      <c r="I187" s="19">
        <f t="shared" si="89"/>
        <v>9.6522042501794356</v>
      </c>
      <c r="J187" s="19">
        <f t="shared" si="89"/>
        <v>1.8825387715244812</v>
      </c>
      <c r="K187" s="19">
        <f t="shared" si="89"/>
        <v>0.30655285153621797</v>
      </c>
      <c r="L187" s="19">
        <f t="shared" si="89"/>
        <v>1.6520143829379066</v>
      </c>
      <c r="M187" s="19">
        <f t="shared" si="89"/>
        <v>0</v>
      </c>
      <c r="N187" s="19">
        <f t="shared" si="89"/>
        <v>3.3693249065235911</v>
      </c>
      <c r="O187" s="19">
        <f t="shared" si="89"/>
        <v>0</v>
      </c>
      <c r="P187" s="62"/>
      <c r="Q187" s="39">
        <f>G187+N187</f>
        <v>3.6197494223472297</v>
      </c>
      <c r="R187" s="5">
        <f>SUM(K187:L187)</f>
        <v>1.9585672344741245</v>
      </c>
      <c r="T187" s="5">
        <f t="shared" ref="T187:T189" si="90">SUM(C187:O187)</f>
        <v>101.03538790103872</v>
      </c>
    </row>
    <row r="188" spans="2:23" x14ac:dyDescent="0.3">
      <c r="B188" s="3">
        <v>2040</v>
      </c>
      <c r="C188" s="19">
        <f t="shared" ref="C188:O188" si="91">((C$182+C$181)*C12+C$183*C42*1000)/1000000</f>
        <v>78.302656139915854</v>
      </c>
      <c r="D188" s="19">
        <f t="shared" si="91"/>
        <v>0</v>
      </c>
      <c r="E188" s="19">
        <f t="shared" si="91"/>
        <v>0</v>
      </c>
      <c r="F188" s="19">
        <f t="shared" si="91"/>
        <v>0</v>
      </c>
      <c r="G188" s="19">
        <f t="shared" si="91"/>
        <v>0.24656529645216438</v>
      </c>
      <c r="H188" s="19">
        <f t="shared" si="91"/>
        <v>0</v>
      </c>
      <c r="I188" s="19">
        <f t="shared" si="91"/>
        <v>9.6759960981467863</v>
      </c>
      <c r="J188" s="19">
        <f t="shared" si="91"/>
        <v>1.8935259498784973</v>
      </c>
      <c r="K188" s="19">
        <f t="shared" si="91"/>
        <v>0.3068754096543147</v>
      </c>
      <c r="L188" s="19">
        <f t="shared" si="91"/>
        <v>1.6588927606609332</v>
      </c>
      <c r="M188" s="19">
        <f t="shared" si="91"/>
        <v>0</v>
      </c>
      <c r="N188" s="19">
        <f t="shared" si="91"/>
        <v>3.3693249065235911</v>
      </c>
      <c r="O188" s="19">
        <f t="shared" si="91"/>
        <v>0</v>
      </c>
      <c r="P188" s="62"/>
      <c r="Q188" s="39">
        <f>G188+N188</f>
        <v>3.6158902029757556</v>
      </c>
      <c r="R188" s="5">
        <f>SUM(K188:L188)</f>
        <v>1.9657681703152479</v>
      </c>
      <c r="T188" s="5">
        <f t="shared" si="90"/>
        <v>95.453836561232123</v>
      </c>
    </row>
    <row r="189" spans="2:23" x14ac:dyDescent="0.3">
      <c r="B189" s="3">
        <v>2050</v>
      </c>
      <c r="C189" s="19">
        <f t="shared" ref="C189:O189" si="92">((C$182+C$181)*C13+C$183*C43*1000)/1000000</f>
        <v>78.19489208077475</v>
      </c>
      <c r="D189" s="19">
        <f t="shared" si="92"/>
        <v>0</v>
      </c>
      <c r="E189" s="19">
        <f t="shared" si="92"/>
        <v>0</v>
      </c>
      <c r="F189" s="19">
        <f t="shared" si="92"/>
        <v>0</v>
      </c>
      <c r="G189" s="19">
        <f t="shared" si="92"/>
        <v>0.24354557263050475</v>
      </c>
      <c r="H189" s="19">
        <f t="shared" si="92"/>
        <v>0</v>
      </c>
      <c r="I189" s="19">
        <f t="shared" si="92"/>
        <v>0</v>
      </c>
      <c r="J189" s="19">
        <f t="shared" si="92"/>
        <v>0</v>
      </c>
      <c r="K189" s="19">
        <f t="shared" si="92"/>
        <v>0</v>
      </c>
      <c r="L189" s="19">
        <f t="shared" si="92"/>
        <v>0</v>
      </c>
      <c r="M189" s="19">
        <f t="shared" si="92"/>
        <v>0</v>
      </c>
      <c r="N189" s="19">
        <f t="shared" si="92"/>
        <v>3.3693249065235911</v>
      </c>
      <c r="O189" s="19">
        <f t="shared" si="92"/>
        <v>0</v>
      </c>
      <c r="P189" s="62"/>
      <c r="Q189" s="39">
        <f>G189+N189</f>
        <v>3.612870479154096</v>
      </c>
      <c r="R189" s="5">
        <f>SUM(K189:L189)</f>
        <v>0</v>
      </c>
      <c r="T189" s="5">
        <f t="shared" si="90"/>
        <v>81.807762559928847</v>
      </c>
    </row>
    <row r="190" spans="2:23" x14ac:dyDescent="0.3"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69"/>
      <c r="Q190" s="5"/>
      <c r="R190" s="5"/>
      <c r="S190" s="5"/>
      <c r="T190" s="5"/>
    </row>
    <row r="191" spans="2:23" x14ac:dyDescent="0.3">
      <c r="Q191" s="5"/>
      <c r="R191" s="5"/>
      <c r="S191" s="5"/>
      <c r="T191" s="5"/>
      <c r="W191" s="5"/>
    </row>
    <row r="192" spans="2:23" x14ac:dyDescent="0.3">
      <c r="B192" s="33" t="s">
        <v>21</v>
      </c>
      <c r="C192" s="95">
        <f>Inputs_Summary!E37</f>
        <v>3559.4976938012715</v>
      </c>
      <c r="D192" s="95">
        <f>Inputs_Summary!F37</f>
        <v>6454.9045250562804</v>
      </c>
      <c r="E192" s="95">
        <f>Inputs_Summary!G37</f>
        <v>901.10972649676557</v>
      </c>
      <c r="F192" s="95">
        <f>Inputs_Summary!H37</f>
        <v>794.35459770843181</v>
      </c>
      <c r="G192" s="95">
        <f>Inputs_Summary!I37</f>
        <v>5564</v>
      </c>
      <c r="H192" s="95">
        <f>Inputs_Summary!J37</f>
        <v>1911</v>
      </c>
      <c r="I192" s="95">
        <f>Inputs_Summary!K37</f>
        <v>10206</v>
      </c>
      <c r="J192" s="95">
        <f>Inputs_Summary!L37</f>
        <v>1073</v>
      </c>
      <c r="K192" s="95">
        <f>Inputs_Summary!M37</f>
        <v>1154.0789960129314</v>
      </c>
      <c r="L192" s="95">
        <f>Inputs_Summary!N37</f>
        <v>4395</v>
      </c>
      <c r="M192" s="95">
        <f>Inputs_Summary!O37</f>
        <v>0</v>
      </c>
      <c r="N192" s="95">
        <f>Inputs_Summary!P37</f>
        <v>2328.2524449730454</v>
      </c>
      <c r="O192" s="95">
        <f>Inputs_Summary!Q37</f>
        <v>2512</v>
      </c>
      <c r="P192" s="101"/>
      <c r="Q192" s="5"/>
      <c r="R192" s="5"/>
      <c r="S192" s="5"/>
      <c r="T192" s="5"/>
    </row>
    <row r="193" spans="1:20" x14ac:dyDescent="0.3">
      <c r="B193" s="3">
        <v>2030</v>
      </c>
      <c r="C193" s="95">
        <f>Inputs_Summary!E38</f>
        <v>3559.4976938012715</v>
      </c>
      <c r="D193" s="95">
        <f>Inputs_Summary!F38</f>
        <v>6281</v>
      </c>
      <c r="E193" s="95">
        <f>Inputs_Summary!G38</f>
        <v>901.10972649676557</v>
      </c>
      <c r="F193" s="95">
        <f>Inputs_Summary!H38</f>
        <v>794.35459770843181</v>
      </c>
      <c r="G193" s="95">
        <f>Inputs_Summary!I38</f>
        <v>5564</v>
      </c>
      <c r="H193" s="95">
        <f>Inputs_Summary!J38</f>
        <v>1911</v>
      </c>
      <c r="I193" s="95">
        <f>Inputs_Summary!K38</f>
        <v>8246</v>
      </c>
      <c r="J193" s="95">
        <f>Inputs_Summary!L38</f>
        <v>967</v>
      </c>
      <c r="K193" s="95">
        <f>Inputs_Summary!M38</f>
        <v>1154.0789960129314</v>
      </c>
      <c r="L193" s="95">
        <f>Inputs_Summary!N38</f>
        <v>4395</v>
      </c>
      <c r="M193" s="95">
        <f>Inputs_Summary!O38</f>
        <v>0</v>
      </c>
      <c r="N193" s="95">
        <f>Inputs_Summary!P38</f>
        <v>2328.2524449730454</v>
      </c>
      <c r="O193" s="95">
        <f>Inputs_Summary!Q38</f>
        <v>2512</v>
      </c>
      <c r="P193" s="101"/>
      <c r="Q193" s="5"/>
      <c r="R193" s="5"/>
      <c r="S193" s="5"/>
      <c r="T193" s="5"/>
    </row>
    <row r="194" spans="1:20" x14ac:dyDescent="0.3">
      <c r="B194" s="3">
        <v>2040</v>
      </c>
      <c r="C194" s="95">
        <f>Inputs_Summary!E39</f>
        <v>3559.4976938012715</v>
      </c>
      <c r="D194" s="95">
        <f>Inputs_Summary!F39</f>
        <v>6281</v>
      </c>
      <c r="E194" s="95">
        <f>Inputs_Summary!G39</f>
        <v>901.10972649676557</v>
      </c>
      <c r="F194" s="95">
        <f>Inputs_Summary!H39</f>
        <v>794.35459770843181</v>
      </c>
      <c r="G194" s="95">
        <f>Inputs_Summary!I39</f>
        <v>5564</v>
      </c>
      <c r="H194" s="95">
        <f>Inputs_Summary!J39</f>
        <v>1911</v>
      </c>
      <c r="I194" s="95">
        <f>Inputs_Summary!K39</f>
        <v>7196</v>
      </c>
      <c r="J194" s="95">
        <f>Inputs_Summary!L39</f>
        <v>911</v>
      </c>
      <c r="K194" s="95">
        <f>Inputs_Summary!M39</f>
        <v>1154.0789960129314</v>
      </c>
      <c r="L194" s="95">
        <f>Inputs_Summary!N39</f>
        <v>4395</v>
      </c>
      <c r="M194" s="95">
        <f>Inputs_Summary!O39</f>
        <v>0</v>
      </c>
      <c r="N194" s="95">
        <f>Inputs_Summary!P39</f>
        <v>2328.2524449730454</v>
      </c>
      <c r="O194" s="95">
        <f>Inputs_Summary!Q39</f>
        <v>2512</v>
      </c>
      <c r="P194" s="101"/>
      <c r="Q194" s="5"/>
      <c r="R194" s="5"/>
      <c r="S194" s="5"/>
      <c r="T194" s="5"/>
    </row>
    <row r="195" spans="1:20" x14ac:dyDescent="0.3">
      <c r="B195" s="3">
        <v>2050</v>
      </c>
      <c r="C195" s="95">
        <f>Inputs_Summary!E40</f>
        <v>3559.4976938012715</v>
      </c>
      <c r="D195" s="95">
        <f>Inputs_Summary!F40</f>
        <v>6281</v>
      </c>
      <c r="E195" s="95">
        <f>Inputs_Summary!G40</f>
        <v>901.10972649676557</v>
      </c>
      <c r="F195" s="95">
        <f>Inputs_Summary!H40</f>
        <v>794.35459770843181</v>
      </c>
      <c r="G195" s="95">
        <f>Inputs_Summary!I40</f>
        <v>5564</v>
      </c>
      <c r="H195" s="95">
        <f>Inputs_Summary!J40</f>
        <v>1911</v>
      </c>
      <c r="I195" s="95">
        <f>Inputs_Summary!K40</f>
        <v>6146</v>
      </c>
      <c r="J195" s="95">
        <f>Inputs_Summary!L40</f>
        <v>854</v>
      </c>
      <c r="K195" s="95">
        <f>Inputs_Summary!M40</f>
        <v>1154.0789960129314</v>
      </c>
      <c r="L195" s="95">
        <f>Inputs_Summary!N40</f>
        <v>4395</v>
      </c>
      <c r="M195" s="95">
        <f>Inputs_Summary!O40</f>
        <v>0</v>
      </c>
      <c r="N195" s="95">
        <f>Inputs_Summary!P40</f>
        <v>2328.2524449730454</v>
      </c>
      <c r="O195" s="95">
        <f>Inputs_Summary!Q40</f>
        <v>2512</v>
      </c>
      <c r="P195" s="101"/>
      <c r="Q195" s="5"/>
      <c r="R195" s="5"/>
      <c r="S195" s="5"/>
      <c r="T195" s="5"/>
    </row>
    <row r="196" spans="1:20" s="32" customFormat="1" x14ac:dyDescent="0.3">
      <c r="B196" s="33" t="s">
        <v>19</v>
      </c>
      <c r="C196" s="95">
        <f>Inputs_Summary!E41</f>
        <v>924</v>
      </c>
      <c r="D196" s="95">
        <f>Inputs_Summary!F41</f>
        <v>968.06859205776175</v>
      </c>
      <c r="E196" s="95">
        <f>Inputs_Summary!G41</f>
        <v>165.17328519855596</v>
      </c>
      <c r="F196" s="95">
        <f>Inputs_Summary!H41</f>
        <v>160.79783393501805</v>
      </c>
      <c r="G196" s="95">
        <f>Inputs_Summary!I41</f>
        <v>907.42483754512637</v>
      </c>
      <c r="H196" s="95">
        <f>Inputs_Summary!J41</f>
        <v>0</v>
      </c>
      <c r="I196" s="95">
        <f>Inputs_Summary!K41</f>
        <v>0</v>
      </c>
      <c r="J196" s="95">
        <f>Inputs_Summary!L41</f>
        <v>0</v>
      </c>
      <c r="K196" s="95">
        <f>Inputs_Summary!M41</f>
        <v>422</v>
      </c>
      <c r="L196" s="95">
        <f>Inputs_Summary!N41</f>
        <v>1655.0144404332129</v>
      </c>
      <c r="M196" s="95">
        <f>Inputs_Summary!O41</f>
        <v>0</v>
      </c>
      <c r="N196" s="95">
        <f>Inputs_Summary!P41</f>
        <v>201.27075812274367</v>
      </c>
      <c r="O196" s="95">
        <f>Inputs_Summary!Q41</f>
        <v>618</v>
      </c>
      <c r="P196" s="101"/>
    </row>
    <row r="197" spans="1:20" x14ac:dyDescent="0.3">
      <c r="B197" s="3">
        <v>2030</v>
      </c>
      <c r="C197" s="95">
        <f>Inputs_Summary!E42</f>
        <v>924</v>
      </c>
      <c r="D197" s="95">
        <f>Inputs_Summary!F42</f>
        <v>968.06859205776175</v>
      </c>
      <c r="E197" s="95">
        <f>Inputs_Summary!G42</f>
        <v>165.17328519855596</v>
      </c>
      <c r="F197" s="95">
        <f>Inputs_Summary!H42</f>
        <v>160.79783393501805</v>
      </c>
      <c r="G197" s="95">
        <f>Inputs_Summary!I42</f>
        <v>907.42483754512637</v>
      </c>
      <c r="H197" s="95">
        <f>Inputs_Summary!J42</f>
        <v>0</v>
      </c>
      <c r="I197" s="95">
        <f>Inputs_Summary!K42</f>
        <v>0</v>
      </c>
      <c r="J197" s="95">
        <f>Inputs_Summary!L42</f>
        <v>0</v>
      </c>
      <c r="K197" s="95">
        <f>Inputs_Summary!M42</f>
        <v>422</v>
      </c>
      <c r="L197" s="95">
        <f>Inputs_Summary!N42</f>
        <v>1655.0144404332129</v>
      </c>
      <c r="M197" s="95">
        <f>Inputs_Summary!O42</f>
        <v>0</v>
      </c>
      <c r="N197" s="95">
        <f>Inputs_Summary!P42</f>
        <v>201.27075812274367</v>
      </c>
      <c r="O197" s="95">
        <f>Inputs_Summary!Q42</f>
        <v>618</v>
      </c>
      <c r="P197" s="101"/>
      <c r="Q197" s="5"/>
      <c r="R197" s="5"/>
      <c r="S197" s="5"/>
      <c r="T197" s="5"/>
    </row>
    <row r="198" spans="1:20" x14ac:dyDescent="0.3">
      <c r="B198" s="3">
        <v>2040</v>
      </c>
      <c r="C198" s="95">
        <f>Inputs_Summary!E43</f>
        <v>924</v>
      </c>
      <c r="D198" s="95">
        <f>Inputs_Summary!F43</f>
        <v>968.06859205776175</v>
      </c>
      <c r="E198" s="95">
        <f>Inputs_Summary!G43</f>
        <v>165.17328519855596</v>
      </c>
      <c r="F198" s="95">
        <f>Inputs_Summary!H43</f>
        <v>160.79783393501805</v>
      </c>
      <c r="G198" s="95">
        <f>Inputs_Summary!I43</f>
        <v>907.42483754512637</v>
      </c>
      <c r="H198" s="95">
        <f>Inputs_Summary!J43</f>
        <v>0</v>
      </c>
      <c r="I198" s="95">
        <f>Inputs_Summary!K43</f>
        <v>0</v>
      </c>
      <c r="J198" s="95">
        <f>Inputs_Summary!L43</f>
        <v>0</v>
      </c>
      <c r="K198" s="95">
        <f>Inputs_Summary!M43</f>
        <v>422</v>
      </c>
      <c r="L198" s="95">
        <f>Inputs_Summary!N43</f>
        <v>1655.0144404332129</v>
      </c>
      <c r="M198" s="95">
        <f>Inputs_Summary!O43</f>
        <v>0</v>
      </c>
      <c r="N198" s="95">
        <f>Inputs_Summary!P43</f>
        <v>201.27075812274367</v>
      </c>
      <c r="O198" s="95">
        <f>Inputs_Summary!Q43</f>
        <v>618</v>
      </c>
      <c r="P198" s="101"/>
      <c r="Q198" s="5"/>
      <c r="R198" s="5"/>
      <c r="S198" s="5"/>
      <c r="T198" s="5"/>
    </row>
    <row r="199" spans="1:20" x14ac:dyDescent="0.3">
      <c r="B199" s="3">
        <v>2050</v>
      </c>
      <c r="C199" s="95">
        <f>Inputs_Summary!E44</f>
        <v>924</v>
      </c>
      <c r="D199" s="95">
        <f>Inputs_Summary!F44</f>
        <v>968.06859205776175</v>
      </c>
      <c r="E199" s="95">
        <f>Inputs_Summary!G44</f>
        <v>165.17328519855596</v>
      </c>
      <c r="F199" s="95">
        <f>Inputs_Summary!H44</f>
        <v>160.79783393501805</v>
      </c>
      <c r="G199" s="95">
        <f>Inputs_Summary!I44</f>
        <v>907.42483754512637</v>
      </c>
      <c r="H199" s="95">
        <f>Inputs_Summary!J44</f>
        <v>0</v>
      </c>
      <c r="I199" s="95">
        <f>Inputs_Summary!K44</f>
        <v>0</v>
      </c>
      <c r="J199" s="95">
        <f>Inputs_Summary!L44</f>
        <v>0</v>
      </c>
      <c r="K199" s="95">
        <f>Inputs_Summary!M44</f>
        <v>422</v>
      </c>
      <c r="L199" s="95">
        <f>Inputs_Summary!N44</f>
        <v>1655.0144404332129</v>
      </c>
      <c r="M199" s="95">
        <f>Inputs_Summary!O44</f>
        <v>0</v>
      </c>
      <c r="N199" s="95">
        <f>Inputs_Summary!P44</f>
        <v>201.27075812274367</v>
      </c>
      <c r="O199" s="95">
        <f>Inputs_Summary!Q44</f>
        <v>618</v>
      </c>
      <c r="P199" s="101"/>
      <c r="Q199" s="5"/>
      <c r="R199" s="5"/>
      <c r="S199" s="5"/>
      <c r="T199" s="5"/>
    </row>
    <row r="200" spans="1:20" s="32" customFormat="1" x14ac:dyDescent="0.3">
      <c r="B200" s="33" t="s">
        <v>20</v>
      </c>
      <c r="C200" s="94">
        <f>Inputs_Summary!E45</f>
        <v>0.36168632057761729</v>
      </c>
      <c r="D200" s="94">
        <f>Inputs_Summary!F45</f>
        <v>0.12287246155234656</v>
      </c>
      <c r="E200" s="94">
        <f>Inputs_Summary!G45</f>
        <v>1.1311272563176895</v>
      </c>
      <c r="F200" s="94">
        <f>Inputs_Summary!H45</f>
        <v>1.7302564981949458</v>
      </c>
      <c r="G200" s="94">
        <f>Inputs_Summary!I45</f>
        <v>0</v>
      </c>
      <c r="H200" s="94">
        <f>Inputs_Summary!J45</f>
        <v>0</v>
      </c>
      <c r="I200" s="94">
        <f>Inputs_Summary!K45</f>
        <v>0</v>
      </c>
      <c r="J200" s="94">
        <f>Inputs_Summary!L45</f>
        <v>0</v>
      </c>
      <c r="K200" s="94">
        <f>Inputs_Summary!M45</f>
        <v>1.42</v>
      </c>
      <c r="L200" s="94">
        <f>Inputs_Summary!N45</f>
        <v>0.46</v>
      </c>
      <c r="M200" s="94">
        <f>Inputs_Summary!O45</f>
        <v>1.51</v>
      </c>
      <c r="N200" s="94">
        <f>Inputs_Summary!P45</f>
        <v>0</v>
      </c>
      <c r="O200" s="94">
        <f>Inputs_Summary!Q45</f>
        <v>3.2000000000000001E-2</v>
      </c>
      <c r="P200" s="100"/>
    </row>
    <row r="201" spans="1:20" x14ac:dyDescent="0.3">
      <c r="B201" s="3">
        <v>2030</v>
      </c>
      <c r="C201" s="94">
        <f>Inputs_Summary!E46</f>
        <v>0.36168632057761729</v>
      </c>
      <c r="D201" s="94">
        <f>Inputs_Summary!F46</f>
        <v>0.12287246155234656</v>
      </c>
      <c r="E201" s="94">
        <f>Inputs_Summary!G46</f>
        <v>1.1311272563176895</v>
      </c>
      <c r="F201" s="94">
        <f>Inputs_Summary!H46</f>
        <v>1.7302564981949458</v>
      </c>
      <c r="G201" s="94">
        <f>Inputs_Summary!I46</f>
        <v>0</v>
      </c>
      <c r="H201" s="94">
        <f>Inputs_Summary!J46</f>
        <v>0</v>
      </c>
      <c r="I201" s="94">
        <f>Inputs_Summary!K46</f>
        <v>0</v>
      </c>
      <c r="J201" s="94">
        <f>Inputs_Summary!L46</f>
        <v>0</v>
      </c>
      <c r="K201" s="94">
        <f>Inputs_Summary!M46</f>
        <v>1.42</v>
      </c>
      <c r="L201" s="94">
        <f>Inputs_Summary!N46</f>
        <v>0.46</v>
      </c>
      <c r="M201" s="94">
        <f>Inputs_Summary!O46</f>
        <v>1.51</v>
      </c>
      <c r="N201" s="94">
        <f>Inputs_Summary!P46</f>
        <v>0</v>
      </c>
      <c r="O201" s="94">
        <f>Inputs_Summary!Q46</f>
        <v>3.2000000000000001E-2</v>
      </c>
      <c r="P201" s="100"/>
      <c r="Q201" s="5"/>
      <c r="R201" s="5"/>
      <c r="S201" s="5"/>
      <c r="T201" s="5"/>
    </row>
    <row r="202" spans="1:20" x14ac:dyDescent="0.3">
      <c r="B202" s="3">
        <v>2040</v>
      </c>
      <c r="C202" s="94">
        <f>Inputs_Summary!E47</f>
        <v>0.36168632057761729</v>
      </c>
      <c r="D202" s="94">
        <f>Inputs_Summary!F47</f>
        <v>0.12287246155234656</v>
      </c>
      <c r="E202" s="94">
        <f>Inputs_Summary!G47</f>
        <v>1.1311272563176895</v>
      </c>
      <c r="F202" s="94">
        <f>Inputs_Summary!H47</f>
        <v>1.7302564981949458</v>
      </c>
      <c r="G202" s="94">
        <f>Inputs_Summary!I47</f>
        <v>0</v>
      </c>
      <c r="H202" s="94">
        <f>Inputs_Summary!J47</f>
        <v>0</v>
      </c>
      <c r="I202" s="94">
        <f>Inputs_Summary!K47</f>
        <v>0</v>
      </c>
      <c r="J202" s="94">
        <f>Inputs_Summary!L47</f>
        <v>0</v>
      </c>
      <c r="K202" s="94">
        <f>Inputs_Summary!M47</f>
        <v>1.42</v>
      </c>
      <c r="L202" s="94">
        <f>Inputs_Summary!N47</f>
        <v>0.46</v>
      </c>
      <c r="M202" s="94">
        <f>Inputs_Summary!O47</f>
        <v>1.51</v>
      </c>
      <c r="N202" s="94">
        <f>Inputs_Summary!P47</f>
        <v>0</v>
      </c>
      <c r="O202" s="94">
        <f>Inputs_Summary!Q47</f>
        <v>3.2000000000000001E-2</v>
      </c>
      <c r="P202" s="100"/>
      <c r="Q202" s="5"/>
      <c r="R202" s="5"/>
      <c r="S202" s="5"/>
      <c r="T202" s="5"/>
    </row>
    <row r="203" spans="1:20" x14ac:dyDescent="0.3">
      <c r="B203" s="3">
        <v>2050</v>
      </c>
      <c r="C203" s="94">
        <f>Inputs_Summary!E48</f>
        <v>0.36168632057761729</v>
      </c>
      <c r="D203" s="94">
        <f>Inputs_Summary!F48</f>
        <v>0.12287246155234656</v>
      </c>
      <c r="E203" s="94">
        <f>Inputs_Summary!G48</f>
        <v>1.1311272563176895</v>
      </c>
      <c r="F203" s="94">
        <f>Inputs_Summary!H48</f>
        <v>1.7302564981949458</v>
      </c>
      <c r="G203" s="94">
        <f>Inputs_Summary!I48</f>
        <v>0</v>
      </c>
      <c r="H203" s="94">
        <f>Inputs_Summary!J48</f>
        <v>0</v>
      </c>
      <c r="I203" s="94">
        <f>Inputs_Summary!K48</f>
        <v>0</v>
      </c>
      <c r="J203" s="94">
        <f>Inputs_Summary!L48</f>
        <v>0</v>
      </c>
      <c r="K203" s="94">
        <f>Inputs_Summary!M48</f>
        <v>1.42</v>
      </c>
      <c r="L203" s="94">
        <f>Inputs_Summary!N48</f>
        <v>0.46</v>
      </c>
      <c r="M203" s="94">
        <f>Inputs_Summary!O48</f>
        <v>1.51</v>
      </c>
      <c r="N203" s="94">
        <f>Inputs_Summary!P48</f>
        <v>0</v>
      </c>
      <c r="O203" s="94">
        <f>Inputs_Summary!Q48</f>
        <v>3.2000000000000001E-2</v>
      </c>
      <c r="P203" s="100"/>
      <c r="Q203" s="5"/>
      <c r="R203" s="5"/>
      <c r="S203" s="5"/>
      <c r="T203" s="5"/>
    </row>
    <row r="204" spans="1:20" s="58" customFormat="1" x14ac:dyDescent="0.3">
      <c r="B204" s="67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</row>
    <row r="205" spans="1:20" ht="28.8" x14ac:dyDescent="0.3">
      <c r="B205" s="43" t="s">
        <v>22</v>
      </c>
      <c r="C205" s="43" t="s">
        <v>0</v>
      </c>
      <c r="D205" s="43" t="s">
        <v>1</v>
      </c>
      <c r="E205" s="43" t="s">
        <v>28</v>
      </c>
      <c r="F205" s="2" t="s">
        <v>29</v>
      </c>
      <c r="G205" s="2" t="s">
        <v>6</v>
      </c>
      <c r="H205" s="43" t="s">
        <v>2</v>
      </c>
      <c r="I205" s="43" t="s">
        <v>3</v>
      </c>
      <c r="J205" s="43" t="s">
        <v>4</v>
      </c>
      <c r="K205" s="43" t="s">
        <v>9</v>
      </c>
      <c r="L205" s="43" t="s">
        <v>8</v>
      </c>
      <c r="M205" s="43" t="s">
        <v>25</v>
      </c>
      <c r="N205" s="43" t="s">
        <v>7</v>
      </c>
      <c r="O205" s="43" t="s">
        <v>89</v>
      </c>
      <c r="P205" s="25"/>
      <c r="Q205" s="43" t="s">
        <v>5</v>
      </c>
      <c r="R205" s="43" t="s">
        <v>91</v>
      </c>
      <c r="T205" s="43" t="s">
        <v>10</v>
      </c>
    </row>
    <row r="206" spans="1:20" x14ac:dyDescent="0.3">
      <c r="A206" s="15">
        <f>C176+C186</f>
        <v>101.28345678417769</v>
      </c>
      <c r="B206" s="3">
        <v>2016</v>
      </c>
      <c r="C206" s="19">
        <f t="shared" ref="C206:O206" si="93">((C196+C192)*C16+C200*C46*1000)/1000000</f>
        <v>0</v>
      </c>
      <c r="D206" s="19">
        <f t="shared" si="93"/>
        <v>0</v>
      </c>
      <c r="E206" s="19">
        <f t="shared" si="93"/>
        <v>0</v>
      </c>
      <c r="F206" s="19">
        <f t="shared" si="93"/>
        <v>0</v>
      </c>
      <c r="G206" s="19">
        <f t="shared" si="93"/>
        <v>0</v>
      </c>
      <c r="H206" s="19">
        <f t="shared" si="93"/>
        <v>0</v>
      </c>
      <c r="I206" s="19">
        <f t="shared" si="93"/>
        <v>0</v>
      </c>
      <c r="J206" s="19">
        <f t="shared" si="93"/>
        <v>0</v>
      </c>
      <c r="K206" s="19">
        <f t="shared" si="93"/>
        <v>0</v>
      </c>
      <c r="L206" s="19">
        <f t="shared" si="93"/>
        <v>0</v>
      </c>
      <c r="M206" s="19">
        <f t="shared" si="93"/>
        <v>0</v>
      </c>
      <c r="N206" s="19">
        <f t="shared" si="93"/>
        <v>0</v>
      </c>
      <c r="O206" s="19">
        <f t="shared" si="93"/>
        <v>0</v>
      </c>
      <c r="P206" s="62"/>
      <c r="Q206" s="39">
        <f>G206+N206</f>
        <v>0</v>
      </c>
      <c r="R206" s="5">
        <f>SUM(K206:L206)</f>
        <v>0</v>
      </c>
      <c r="T206" s="5">
        <f>SUM(C206:O206)</f>
        <v>0</v>
      </c>
    </row>
    <row r="207" spans="1:20" x14ac:dyDescent="0.3">
      <c r="A207" s="15">
        <f t="shared" ref="A207:A209" si="94">C177+C187</f>
        <v>141.47842841388442</v>
      </c>
      <c r="B207" s="3">
        <v>2030</v>
      </c>
      <c r="C207" s="19">
        <f t="shared" ref="C207:O207" si="95">((C197+C193)*C17+C201*C47*1000)/1000000</f>
        <v>0</v>
      </c>
      <c r="D207" s="19">
        <f t="shared" si="95"/>
        <v>0</v>
      </c>
      <c r="E207" s="19">
        <f t="shared" si="95"/>
        <v>22.208765312980969</v>
      </c>
      <c r="F207" s="19">
        <f t="shared" si="95"/>
        <v>9.728384283259965</v>
      </c>
      <c r="G207" s="19">
        <f t="shared" si="95"/>
        <v>0</v>
      </c>
      <c r="H207" s="19">
        <f t="shared" si="95"/>
        <v>13.377000000000001</v>
      </c>
      <c r="I207" s="19">
        <f t="shared" si="95"/>
        <v>0</v>
      </c>
      <c r="J207" s="19">
        <f t="shared" si="95"/>
        <v>3.9647000000000001</v>
      </c>
      <c r="K207" s="19">
        <f t="shared" si="95"/>
        <v>3.0285974448412198</v>
      </c>
      <c r="L207" s="19">
        <f t="shared" si="95"/>
        <v>0</v>
      </c>
      <c r="M207" s="19">
        <f t="shared" si="95"/>
        <v>0</v>
      </c>
      <c r="N207" s="19">
        <f t="shared" si="95"/>
        <v>0.84233122663089777</v>
      </c>
      <c r="O207" s="19">
        <f t="shared" si="95"/>
        <v>1.8780000000000002E-2</v>
      </c>
      <c r="P207" s="62"/>
      <c r="Q207" s="39">
        <f>G207+N207</f>
        <v>0.84233122663089777</v>
      </c>
      <c r="R207" s="5">
        <f>SUM(K207:L207)</f>
        <v>3.0285974448412198</v>
      </c>
      <c r="T207" s="5">
        <f t="shared" ref="T207:T209" si="96">SUM(C207:O207)</f>
        <v>53.168558267713053</v>
      </c>
    </row>
    <row r="208" spans="1:20" x14ac:dyDescent="0.3">
      <c r="A208" s="15">
        <f t="shared" si="94"/>
        <v>98.789826347788804</v>
      </c>
      <c r="B208" s="3">
        <v>2040</v>
      </c>
      <c r="C208" s="19">
        <f t="shared" ref="C208:O208" si="97">((C198+C194)*C18+C202*C48*1000)/1000000</f>
        <v>64.58302501819179</v>
      </c>
      <c r="D208" s="19">
        <f t="shared" si="97"/>
        <v>0</v>
      </c>
      <c r="E208" s="19">
        <f t="shared" si="97"/>
        <v>39.823133900306324</v>
      </c>
      <c r="F208" s="19">
        <f t="shared" si="97"/>
        <v>16.248635651488367</v>
      </c>
      <c r="G208" s="19">
        <f t="shared" si="97"/>
        <v>16.178562093862816</v>
      </c>
      <c r="H208" s="19">
        <f t="shared" si="97"/>
        <v>40.704300000000003</v>
      </c>
      <c r="I208" s="19">
        <f t="shared" si="97"/>
        <v>0</v>
      </c>
      <c r="J208" s="19">
        <f t="shared" si="97"/>
        <v>9.6565999999999992</v>
      </c>
      <c r="K208" s="19">
        <f t="shared" si="97"/>
        <v>3.0443626804068966</v>
      </c>
      <c r="L208" s="19">
        <f t="shared" si="97"/>
        <v>0</v>
      </c>
      <c r="M208" s="19">
        <f t="shared" si="97"/>
        <v>0</v>
      </c>
      <c r="N208" s="19">
        <f t="shared" si="97"/>
        <v>0.84233122663089777</v>
      </c>
      <c r="O208" s="19">
        <f t="shared" si="97"/>
        <v>1.8780000000000002E-2</v>
      </c>
      <c r="P208" s="62"/>
      <c r="Q208" s="39">
        <f>G208+N208</f>
        <v>17.020893320493713</v>
      </c>
      <c r="R208" s="5">
        <f>SUM(K208:L208)</f>
        <v>3.0443626804068966</v>
      </c>
      <c r="T208" s="5">
        <f t="shared" si="96"/>
        <v>191.09973057088709</v>
      </c>
    </row>
    <row r="209" spans="1:24" x14ac:dyDescent="0.3">
      <c r="A209" s="15">
        <f t="shared" si="94"/>
        <v>78.996882080774753</v>
      </c>
      <c r="B209" s="3">
        <v>2050</v>
      </c>
      <c r="C209" s="19">
        <f t="shared" ref="C209:O209" si="98">((C199+C195)*C19+C203*C49*1000)/1000000</f>
        <v>122.29449752257912</v>
      </c>
      <c r="D209" s="19">
        <f t="shared" si="98"/>
        <v>0</v>
      </c>
      <c r="E209" s="19">
        <f t="shared" si="98"/>
        <v>46.536592778555331</v>
      </c>
      <c r="F209" s="19">
        <f t="shared" si="98"/>
        <v>19.780206957476416</v>
      </c>
      <c r="G209" s="19">
        <f t="shared" si="98"/>
        <v>16.178562093862816</v>
      </c>
      <c r="H209" s="19">
        <f t="shared" si="98"/>
        <v>58.0944</v>
      </c>
      <c r="I209" s="19">
        <f t="shared" si="98"/>
        <v>0</v>
      </c>
      <c r="J209" s="19">
        <f t="shared" si="98"/>
        <v>13.4932</v>
      </c>
      <c r="K209" s="19">
        <f t="shared" si="98"/>
        <v>3.0044754337906912</v>
      </c>
      <c r="L209" s="19">
        <f t="shared" si="98"/>
        <v>0</v>
      </c>
      <c r="M209" s="19">
        <f t="shared" si="98"/>
        <v>0</v>
      </c>
      <c r="N209" s="19">
        <f t="shared" si="98"/>
        <v>0.84233122663089777</v>
      </c>
      <c r="O209" s="19">
        <f t="shared" si="98"/>
        <v>1.8780000000000002E-2</v>
      </c>
      <c r="P209" s="62"/>
      <c r="Q209" s="39">
        <f>G209+N209</f>
        <v>17.020893320493713</v>
      </c>
      <c r="R209" s="5">
        <f>SUM(K209:L209)</f>
        <v>3.0044754337906912</v>
      </c>
      <c r="T209" s="5">
        <f t="shared" si="96"/>
        <v>280.24304601289526</v>
      </c>
    </row>
    <row r="210" spans="1:24" x14ac:dyDescent="0.3"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69"/>
    </row>
    <row r="211" spans="1:24" ht="72" x14ac:dyDescent="0.3">
      <c r="B211" s="43" t="s">
        <v>23</v>
      </c>
      <c r="C211" s="43" t="s">
        <v>0</v>
      </c>
      <c r="D211" s="43" t="s">
        <v>1</v>
      </c>
      <c r="E211" s="43" t="s">
        <v>28</v>
      </c>
      <c r="F211" s="2" t="s">
        <v>29</v>
      </c>
      <c r="G211" s="2" t="s">
        <v>6</v>
      </c>
      <c r="H211" s="43" t="s">
        <v>2</v>
      </c>
      <c r="I211" s="43" t="s">
        <v>3</v>
      </c>
      <c r="J211" s="43" t="s">
        <v>4</v>
      </c>
      <c r="K211" s="43" t="s">
        <v>9</v>
      </c>
      <c r="L211" s="43" t="s">
        <v>8</v>
      </c>
      <c r="M211" s="43" t="s">
        <v>25</v>
      </c>
      <c r="N211" s="43" t="s">
        <v>7</v>
      </c>
      <c r="O211" s="43" t="s">
        <v>89</v>
      </c>
      <c r="P211" s="25"/>
      <c r="Q211" s="43" t="s">
        <v>5</v>
      </c>
      <c r="R211" s="43" t="s">
        <v>91</v>
      </c>
      <c r="T211" s="43" t="s">
        <v>10</v>
      </c>
      <c r="U211" s="41" t="s">
        <v>86</v>
      </c>
      <c r="V211" s="43" t="s">
        <v>92</v>
      </c>
      <c r="W211" s="43" t="s">
        <v>93</v>
      </c>
      <c r="X211" s="25" t="s">
        <v>60</v>
      </c>
    </row>
    <row r="212" spans="1:24" x14ac:dyDescent="0.3">
      <c r="B212" s="3">
        <v>2016</v>
      </c>
      <c r="C212" s="19">
        <f>C176+C186+C206</f>
        <v>101.28345678417769</v>
      </c>
      <c r="D212" s="19">
        <f t="shared" ref="D212:O215" si="99">D176+D186+D206</f>
        <v>3.0206166863931165</v>
      </c>
      <c r="E212" s="19">
        <f t="shared" si="99"/>
        <v>0.71827291818882821</v>
      </c>
      <c r="F212" s="19">
        <f t="shared" si="99"/>
        <v>5.6112431781664789</v>
      </c>
      <c r="G212" s="19">
        <f t="shared" si="99"/>
        <v>4.7397372806457199</v>
      </c>
      <c r="H212" s="19">
        <f t="shared" si="99"/>
        <v>4.0750701878248003</v>
      </c>
      <c r="I212" s="19">
        <f t="shared" si="99"/>
        <v>2.9231010200632919</v>
      </c>
      <c r="J212" s="19">
        <f t="shared" si="99"/>
        <v>4.4864465988215327</v>
      </c>
      <c r="K212" s="19">
        <f t="shared" si="99"/>
        <v>0</v>
      </c>
      <c r="L212" s="19">
        <f t="shared" si="99"/>
        <v>2.6751491869481288</v>
      </c>
      <c r="M212" s="19">
        <f t="shared" si="99"/>
        <v>0</v>
      </c>
      <c r="N212" s="19">
        <f t="shared" si="99"/>
        <v>0.46729964879989472</v>
      </c>
      <c r="O212" s="19">
        <f t="shared" si="99"/>
        <v>0</v>
      </c>
      <c r="P212" s="62"/>
      <c r="Q212" s="5">
        <f>G212+N212</f>
        <v>5.2070369294456142</v>
      </c>
      <c r="R212" s="5">
        <f>SUM(K212:L212)</f>
        <v>2.6751491869481288</v>
      </c>
      <c r="S212" s="5"/>
      <c r="T212" s="46">
        <f>SUM(C212:O212)</f>
        <v>130.00039349002947</v>
      </c>
      <c r="U212" s="39">
        <f>T212+T128*Inputs_Summary!L64/1000</f>
        <v>155.98922641286882</v>
      </c>
      <c r="V212" s="39">
        <f>T212+Inputs_Summary!$L$62*Inputs_Summary!L72/1000</f>
        <v>202.62649349002947</v>
      </c>
      <c r="W212" s="39">
        <f>V212+(U212-T212)</f>
        <v>228.61532641286882</v>
      </c>
      <c r="X212" s="75">
        <f>T212-'O-BC-LowD'!T212</f>
        <v>0</v>
      </c>
    </row>
    <row r="213" spans="1:24" x14ac:dyDescent="0.3">
      <c r="B213" s="3">
        <v>2030</v>
      </c>
      <c r="C213" s="19">
        <f>C177+C187+C207</f>
        <v>141.47842841388442</v>
      </c>
      <c r="D213" s="19">
        <f t="shared" ref="D213:N213" si="100">D177+D187+D207</f>
        <v>3.0041834609831284</v>
      </c>
      <c r="E213" s="19">
        <f t="shared" si="100"/>
        <v>24.325980565184121</v>
      </c>
      <c r="F213" s="19">
        <f t="shared" si="100"/>
        <v>10.754168820846688</v>
      </c>
      <c r="G213" s="19">
        <f t="shared" si="100"/>
        <v>4.0985900962220763</v>
      </c>
      <c r="H213" s="19">
        <f t="shared" si="100"/>
        <v>23.600950421710845</v>
      </c>
      <c r="I213" s="19">
        <f t="shared" si="100"/>
        <v>12.42235716043286</v>
      </c>
      <c r="J213" s="19">
        <f t="shared" si="100"/>
        <v>10.306981981801762</v>
      </c>
      <c r="K213" s="19">
        <f t="shared" si="100"/>
        <v>3.3351502963774378</v>
      </c>
      <c r="L213" s="19">
        <f t="shared" si="100"/>
        <v>4.2791156544479882</v>
      </c>
      <c r="M213" s="19">
        <f t="shared" si="100"/>
        <v>0</v>
      </c>
      <c r="N213" s="19">
        <f t="shared" si="100"/>
        <v>4.6522452428332555</v>
      </c>
      <c r="O213" s="19">
        <f t="shared" si="99"/>
        <v>1.8780000000000002E-2</v>
      </c>
      <c r="P213" s="62"/>
      <c r="Q213" s="5">
        <f>G213+N213</f>
        <v>8.7508353390553317</v>
      </c>
      <c r="R213" s="5">
        <f>SUM(K213:L213)</f>
        <v>7.614265950825426</v>
      </c>
      <c r="S213" s="5"/>
      <c r="T213" s="46">
        <f t="shared" ref="T213:T215" si="101">SUM(C213:O213)</f>
        <v>242.27693211472456</v>
      </c>
      <c r="U213" s="39">
        <f>T213+T129*Inputs_Summary!L65/1000</f>
        <v>268.7583324159711</v>
      </c>
      <c r="V213" s="39">
        <f>T213+Inputs_Summary!$L$62*Inputs_Summary!L73/1000</f>
        <v>334.48259729646259</v>
      </c>
      <c r="W213" s="39">
        <f t="shared" ref="W213:W215" si="102">V213+(U213-T213)</f>
        <v>360.96399759770912</v>
      </c>
      <c r="X213" s="75">
        <f>T213-'O-BC-LowD'!T213</f>
        <v>0</v>
      </c>
    </row>
    <row r="214" spans="1:24" x14ac:dyDescent="0.3">
      <c r="B214" s="3">
        <v>2040</v>
      </c>
      <c r="C214" s="19">
        <f>C178+C188+C208</f>
        <v>163.37285136598058</v>
      </c>
      <c r="D214" s="19">
        <f t="shared" ref="D214:N214" si="103">D178+D188+D208</f>
        <v>3.0124265271145521</v>
      </c>
      <c r="E214" s="19">
        <f t="shared" si="103"/>
        <v>41.96019381742186</v>
      </c>
      <c r="F214" s="19">
        <f t="shared" si="103"/>
        <v>16.621334722256346</v>
      </c>
      <c r="G214" s="19">
        <f t="shared" si="103"/>
        <v>20.299552747566732</v>
      </c>
      <c r="H214" s="19">
        <f t="shared" si="103"/>
        <v>40.704300000000003</v>
      </c>
      <c r="I214" s="19">
        <f t="shared" si="103"/>
        <v>12.463111881967624</v>
      </c>
      <c r="J214" s="19">
        <f t="shared" si="103"/>
        <v>12.869820704146129</v>
      </c>
      <c r="K214" s="19">
        <f t="shared" si="103"/>
        <v>3.3512380900612113</v>
      </c>
      <c r="L214" s="19">
        <f t="shared" si="103"/>
        <v>4.3300168055593797</v>
      </c>
      <c r="M214" s="19">
        <f t="shared" si="103"/>
        <v>0</v>
      </c>
      <c r="N214" s="19">
        <f t="shared" si="103"/>
        <v>4.6516049070739101</v>
      </c>
      <c r="O214" s="19">
        <f t="shared" si="99"/>
        <v>1.8780000000000002E-2</v>
      </c>
      <c r="P214" s="62"/>
      <c r="Q214" s="5">
        <f>G214+N214</f>
        <v>24.951157654640642</v>
      </c>
      <c r="R214" s="5">
        <f>SUM(K214:L214)</f>
        <v>7.681254895620591</v>
      </c>
      <c r="S214" s="5"/>
      <c r="T214" s="46">
        <f t="shared" si="101"/>
        <v>323.65523156914833</v>
      </c>
      <c r="U214" s="39">
        <f>T214+T130*Inputs_Summary!L66/1000</f>
        <v>346.75471028312853</v>
      </c>
      <c r="V214" s="39">
        <f>T214+Inputs_Summary!$L$62*Inputs_Summary!L74/1000</f>
        <v>429.12440257557262</v>
      </c>
      <c r="W214" s="39">
        <f t="shared" si="102"/>
        <v>452.22388128955282</v>
      </c>
      <c r="X214" s="75">
        <f>T214-'O-BC-LowD'!T214</f>
        <v>0</v>
      </c>
    </row>
    <row r="215" spans="1:24" x14ac:dyDescent="0.3">
      <c r="B215" s="3">
        <v>2050</v>
      </c>
      <c r="C215" s="19">
        <f>C179+C189+C209</f>
        <v>201.29137960335387</v>
      </c>
      <c r="D215" s="19">
        <f t="shared" ref="D215:N215" si="104">D179+D189+D209</f>
        <v>0</v>
      </c>
      <c r="E215" s="19">
        <f t="shared" si="104"/>
        <v>48.636425364907424</v>
      </c>
      <c r="F215" s="19">
        <f t="shared" si="104"/>
        <v>19.780206957476416</v>
      </c>
      <c r="G215" s="19">
        <f t="shared" si="104"/>
        <v>20.294494483197301</v>
      </c>
      <c r="H215" s="19">
        <f t="shared" si="104"/>
        <v>58.0944</v>
      </c>
      <c r="I215" s="19">
        <f t="shared" si="104"/>
        <v>0</v>
      </c>
      <c r="J215" s="19">
        <f t="shared" si="104"/>
        <v>13.4932</v>
      </c>
      <c r="K215" s="19">
        <f t="shared" si="104"/>
        <v>3.0044754337906912</v>
      </c>
      <c r="L215" s="19">
        <f t="shared" si="104"/>
        <v>2.6479933029550593</v>
      </c>
      <c r="M215" s="19">
        <f t="shared" si="104"/>
        <v>0</v>
      </c>
      <c r="N215" s="19">
        <f t="shared" si="104"/>
        <v>4.6523216964574292</v>
      </c>
      <c r="O215" s="19">
        <f t="shared" si="99"/>
        <v>1.8780000000000002E-2</v>
      </c>
      <c r="P215" s="62"/>
      <c r="Q215" s="5">
        <f>G215+N215</f>
        <v>24.946816179654732</v>
      </c>
      <c r="R215" s="5">
        <f>SUM(K215:L215)</f>
        <v>5.6524687367457505</v>
      </c>
      <c r="S215" s="5"/>
      <c r="T215" s="46">
        <f t="shared" si="101"/>
        <v>371.91367684213816</v>
      </c>
      <c r="U215" s="39">
        <f>T215+T131*Inputs_Summary!L67/1000</f>
        <v>396.39989387959042</v>
      </c>
      <c r="V215" s="39">
        <f>T215+Inputs_Summary!$L$62*Inputs_Summary!L75/1000</f>
        <v>486.58943943641901</v>
      </c>
      <c r="W215" s="39">
        <f t="shared" si="102"/>
        <v>511.07565647387128</v>
      </c>
      <c r="X215" s="75">
        <f>T215-'O-BC-LowD'!T215</f>
        <v>0</v>
      </c>
    </row>
    <row r="216" spans="1:24" x14ac:dyDescent="0.3">
      <c r="U216" s="11"/>
      <c r="V216" s="85"/>
    </row>
    <row r="217" spans="1:24" x14ac:dyDescent="0.3">
      <c r="B217" s="3">
        <v>2016</v>
      </c>
      <c r="C217" s="21">
        <f t="shared" ref="C217:N217" si="105">IFERROR(C212/$T212,0)</f>
        <v>0.7791011555049312</v>
      </c>
      <c r="D217" s="21">
        <f t="shared" si="105"/>
        <v>2.3235442642139281E-2</v>
      </c>
      <c r="E217" s="21">
        <f t="shared" si="105"/>
        <v>5.5251595699509709E-3</v>
      </c>
      <c r="F217" s="21">
        <f t="shared" si="105"/>
        <v>4.316327841420603E-2</v>
      </c>
      <c r="G217" s="21">
        <f t="shared" si="105"/>
        <v>3.6459407186403933E-2</v>
      </c>
      <c r="H217" s="21">
        <f t="shared" si="105"/>
        <v>3.1346598871159127E-2</v>
      </c>
      <c r="I217" s="21">
        <f t="shared" si="105"/>
        <v>2.2485324402402539E-2</v>
      </c>
      <c r="J217" s="21">
        <f t="shared" si="105"/>
        <v>3.4511023223676829E-2</v>
      </c>
      <c r="K217" s="21">
        <f t="shared" si="105"/>
        <v>0</v>
      </c>
      <c r="L217" s="21">
        <f t="shared" si="105"/>
        <v>2.0578008382361568E-2</v>
      </c>
      <c r="M217" s="21">
        <f t="shared" si="105"/>
        <v>0</v>
      </c>
      <c r="N217" s="21">
        <f t="shared" si="105"/>
        <v>3.5946018027686573E-3</v>
      </c>
      <c r="O217" s="21">
        <f t="shared" ref="O217:O220" si="106">IFERROR(O212/$T212,0)</f>
        <v>0</v>
      </c>
      <c r="P217" s="29"/>
      <c r="Q217" s="7">
        <f t="shared" ref="Q217:R220" si="107">IFERROR(Q212/$T212,0)</f>
        <v>4.0054008989172593E-2</v>
      </c>
      <c r="R217" s="7">
        <f t="shared" si="107"/>
        <v>2.0578008382361568E-2</v>
      </c>
      <c r="T217" s="8">
        <f>SUM(C217:O217)</f>
        <v>1.0000000000000002</v>
      </c>
      <c r="U217" s="11"/>
    </row>
    <row r="218" spans="1:24" x14ac:dyDescent="0.3">
      <c r="B218" s="3">
        <v>2030</v>
      </c>
      <c r="C218" s="21">
        <f t="shared" ref="C218:N218" si="108">IFERROR(C213/$T213,0)</f>
        <v>0.58395335940150761</v>
      </c>
      <c r="D218" s="21">
        <f t="shared" si="108"/>
        <v>1.2399791572235063E-2</v>
      </c>
      <c r="E218" s="21">
        <f t="shared" si="108"/>
        <v>0.10040568184867524</v>
      </c>
      <c r="F218" s="21">
        <f t="shared" si="108"/>
        <v>4.4387918928056692E-2</v>
      </c>
      <c r="G218" s="21">
        <f t="shared" si="108"/>
        <v>1.6916963825021877E-2</v>
      </c>
      <c r="H218" s="21">
        <f t="shared" si="108"/>
        <v>9.7413114057987027E-2</v>
      </c>
      <c r="I218" s="21">
        <f t="shared" si="108"/>
        <v>5.1273379813768422E-2</v>
      </c>
      <c r="J218" s="21">
        <f t="shared" si="108"/>
        <v>4.2542151627217785E-2</v>
      </c>
      <c r="K218" s="21">
        <f t="shared" si="108"/>
        <v>1.3765859866502502E-2</v>
      </c>
      <c r="L218" s="21">
        <f t="shared" si="108"/>
        <v>1.7662084529045108E-2</v>
      </c>
      <c r="M218" s="21">
        <f t="shared" si="108"/>
        <v>0</v>
      </c>
      <c r="N218" s="21">
        <f t="shared" si="108"/>
        <v>1.9202179927845106E-2</v>
      </c>
      <c r="O218" s="21">
        <f t="shared" si="106"/>
        <v>7.7514602137636332E-5</v>
      </c>
      <c r="P218" s="29"/>
      <c r="Q218" s="7">
        <f t="shared" si="107"/>
        <v>3.6119143752866983E-2</v>
      </c>
      <c r="R218" s="7">
        <f t="shared" si="107"/>
        <v>3.1427944395547608E-2</v>
      </c>
      <c r="T218" s="8">
        <f t="shared" ref="T218:T220" si="109">SUM(C218:O218)</f>
        <v>1</v>
      </c>
      <c r="U218" s="11"/>
    </row>
    <row r="219" spans="1:24" x14ac:dyDescent="0.3">
      <c r="B219" s="3">
        <v>2040</v>
      </c>
      <c r="C219" s="21">
        <f t="shared" ref="C219:N219" si="110">IFERROR(C214/$T214,0)</f>
        <v>0.50477432598235716</v>
      </c>
      <c r="D219" s="21">
        <f t="shared" si="110"/>
        <v>9.3075168675929559E-3</v>
      </c>
      <c r="E219" s="21">
        <f t="shared" si="110"/>
        <v>0.12964472600671417</v>
      </c>
      <c r="F219" s="21">
        <f t="shared" si="110"/>
        <v>5.1355062736581254E-2</v>
      </c>
      <c r="G219" s="21">
        <f t="shared" si="110"/>
        <v>6.2719680597005181E-2</v>
      </c>
      <c r="H219" s="21">
        <f t="shared" si="110"/>
        <v>0.12576438144582749</v>
      </c>
      <c r="I219" s="21">
        <f t="shared" si="110"/>
        <v>3.8507370393933843E-2</v>
      </c>
      <c r="J219" s="21">
        <f t="shared" si="110"/>
        <v>3.9763981696666985E-2</v>
      </c>
      <c r="K219" s="21">
        <f t="shared" si="110"/>
        <v>1.0354345498491426E-2</v>
      </c>
      <c r="L219" s="21">
        <f t="shared" si="110"/>
        <v>1.3378485447513242E-2</v>
      </c>
      <c r="M219" s="21">
        <f t="shared" si="110"/>
        <v>0</v>
      </c>
      <c r="N219" s="21">
        <f t="shared" si="110"/>
        <v>1.4372098620256979E-2</v>
      </c>
      <c r="O219" s="21">
        <f t="shared" si="106"/>
        <v>5.8024707059269917E-5</v>
      </c>
      <c r="P219" s="29"/>
      <c r="Q219" s="7">
        <f t="shared" si="107"/>
        <v>7.7091779217262166E-2</v>
      </c>
      <c r="R219" s="7">
        <f t="shared" si="107"/>
        <v>2.373283094600467E-2</v>
      </c>
      <c r="T219" s="8">
        <f t="shared" si="109"/>
        <v>0.99999999999999989</v>
      </c>
      <c r="U219" s="11"/>
    </row>
    <row r="220" spans="1:24" x14ac:dyDescent="0.3">
      <c r="B220" s="3">
        <v>2050</v>
      </c>
      <c r="C220" s="21">
        <f t="shared" ref="C220:N220" si="111">IFERROR(C215/$T215,0)</f>
        <v>0.54123145271905038</v>
      </c>
      <c r="D220" s="21">
        <f t="shared" si="111"/>
        <v>0</v>
      </c>
      <c r="E220" s="21">
        <f t="shared" si="111"/>
        <v>0.13077342510733092</v>
      </c>
      <c r="F220" s="21">
        <f t="shared" si="111"/>
        <v>5.3184940993370053E-2</v>
      </c>
      <c r="G220" s="21">
        <f t="shared" si="111"/>
        <v>5.4567755226198542E-2</v>
      </c>
      <c r="H220" s="21">
        <f t="shared" si="111"/>
        <v>0.15620398930545018</v>
      </c>
      <c r="I220" s="21">
        <f t="shared" si="111"/>
        <v>0</v>
      </c>
      <c r="J220" s="21">
        <f t="shared" si="111"/>
        <v>3.6280461946354557E-2</v>
      </c>
      <c r="K220" s="21">
        <f t="shared" si="111"/>
        <v>8.0784214748466105E-3</v>
      </c>
      <c r="L220" s="21">
        <f t="shared" si="111"/>
        <v>7.1199137537472758E-3</v>
      </c>
      <c r="M220" s="21">
        <f t="shared" si="111"/>
        <v>0</v>
      </c>
      <c r="N220" s="21">
        <f t="shared" si="111"/>
        <v>1.2509143885106827E-2</v>
      </c>
      <c r="O220" s="21">
        <f t="shared" si="106"/>
        <v>5.0495588544788388E-5</v>
      </c>
      <c r="P220" s="29"/>
      <c r="Q220" s="7">
        <f t="shared" si="107"/>
        <v>6.7076899111305377E-2</v>
      </c>
      <c r="R220" s="7">
        <f t="shared" si="107"/>
        <v>1.5198335228593885E-2</v>
      </c>
      <c r="T220" s="8">
        <f t="shared" si="109"/>
        <v>1.0000000000000002</v>
      </c>
    </row>
    <row r="222" spans="1:24" s="9" customFormat="1" ht="21" x14ac:dyDescent="0.4">
      <c r="B222" s="10" t="s">
        <v>51</v>
      </c>
    </row>
    <row r="223" spans="1:24" s="32" customFormat="1" ht="21" x14ac:dyDescent="0.4">
      <c r="B223" s="31"/>
      <c r="C223" s="40"/>
      <c r="D223" s="40"/>
      <c r="E223" s="40"/>
      <c r="P223" s="58"/>
    </row>
    <row r="224" spans="1:24" ht="28.8" x14ac:dyDescent="0.3">
      <c r="B224" s="43" t="s">
        <v>48</v>
      </c>
      <c r="C224" s="43" t="s">
        <v>0</v>
      </c>
      <c r="D224" s="43" t="s">
        <v>1</v>
      </c>
      <c r="E224" s="43" t="s">
        <v>28</v>
      </c>
      <c r="F224" s="2" t="s">
        <v>29</v>
      </c>
      <c r="G224" s="2" t="s">
        <v>6</v>
      </c>
      <c r="H224" s="43" t="s">
        <v>2</v>
      </c>
      <c r="I224" s="43" t="s">
        <v>3</v>
      </c>
      <c r="J224" s="43" t="s">
        <v>4</v>
      </c>
      <c r="K224" s="43" t="s">
        <v>9</v>
      </c>
      <c r="L224" s="43" t="s">
        <v>8</v>
      </c>
      <c r="M224" s="43" t="s">
        <v>25</v>
      </c>
      <c r="N224" s="43" t="s">
        <v>7</v>
      </c>
      <c r="O224" s="43" t="s">
        <v>89</v>
      </c>
      <c r="P224" s="25"/>
      <c r="Q224" s="43" t="s">
        <v>5</v>
      </c>
      <c r="R224" s="43" t="s">
        <v>91</v>
      </c>
      <c r="T224" s="42"/>
    </row>
    <row r="225" spans="2:20" x14ac:dyDescent="0.3">
      <c r="B225" s="3">
        <v>2016</v>
      </c>
      <c r="C225" s="48">
        <f t="shared" ref="C225:O225" si="112">IFERROR(C176/C34*1000,"")</f>
        <v>0.48989471926362094</v>
      </c>
      <c r="D225" s="48">
        <f t="shared" si="112"/>
        <v>0.20487259277908632</v>
      </c>
      <c r="E225" s="48">
        <f t="shared" si="112"/>
        <v>0.95000000000000007</v>
      </c>
      <c r="F225" s="48">
        <f t="shared" si="112"/>
        <v>2.7719237674542714</v>
      </c>
      <c r="G225" s="48">
        <f t="shared" si="112"/>
        <v>0.30000000000000004</v>
      </c>
      <c r="H225" s="48">
        <f t="shared" si="112"/>
        <v>0.93</v>
      </c>
      <c r="I225" s="48">
        <f t="shared" si="112"/>
        <v>3.2999999999999994</v>
      </c>
      <c r="J225" s="48">
        <f t="shared" si="112"/>
        <v>1.6999999999999997</v>
      </c>
      <c r="K225" s="48" t="str">
        <f t="shared" si="112"/>
        <v/>
      </c>
      <c r="L225" s="48">
        <f t="shared" si="112"/>
        <v>1.6499999999999997</v>
      </c>
      <c r="M225" s="48" t="str">
        <f t="shared" si="112"/>
        <v/>
      </c>
      <c r="N225" s="48">
        <f t="shared" si="112"/>
        <v>0.15605822366857675</v>
      </c>
      <c r="O225" s="48" t="str">
        <f t="shared" si="112"/>
        <v/>
      </c>
      <c r="P225" s="53"/>
      <c r="T225" s="42">
        <f>IFERROR(T176/Inputs_Summary!L72*1000,"")</f>
        <v>0.51041383896307546</v>
      </c>
    </row>
    <row r="226" spans="2:20" x14ac:dyDescent="0.3">
      <c r="B226" s="3">
        <v>2030</v>
      </c>
      <c r="C226" s="48">
        <f t="shared" ref="C226:O226" si="113">IFERROR(C177/C35*1000,"")</f>
        <v>0.47276649155240025</v>
      </c>
      <c r="D226" s="48">
        <f t="shared" si="113"/>
        <v>0.20562322727933935</v>
      </c>
      <c r="E226" s="48">
        <f t="shared" si="113"/>
        <v>0.94999999999999984</v>
      </c>
      <c r="F226" s="48">
        <f t="shared" si="113"/>
        <v>4.8350708910604761</v>
      </c>
      <c r="G226" s="48">
        <f t="shared" si="113"/>
        <v>0.3</v>
      </c>
      <c r="H226" s="48">
        <f t="shared" si="113"/>
        <v>0.93</v>
      </c>
      <c r="I226" s="48">
        <f t="shared" si="113"/>
        <v>3.3</v>
      </c>
      <c r="J226" s="48">
        <f t="shared" si="113"/>
        <v>1.6999999999999997</v>
      </c>
      <c r="K226" s="48" t="str">
        <f t="shared" si="113"/>
        <v/>
      </c>
      <c r="L226" s="48">
        <f t="shared" si="113"/>
        <v>1.6499999999999997</v>
      </c>
      <c r="M226" s="48" t="str">
        <f t="shared" si="113"/>
        <v/>
      </c>
      <c r="N226" s="48">
        <f t="shared" si="113"/>
        <v>0.17908800040474515</v>
      </c>
      <c r="O226" s="48" t="str">
        <f t="shared" si="113"/>
        <v/>
      </c>
      <c r="P226" s="53"/>
      <c r="T226" s="42">
        <f>IFERROR(T177/T35*1000,"")</f>
        <v>0.49839594065105963</v>
      </c>
    </row>
    <row r="227" spans="2:20" x14ac:dyDescent="0.3">
      <c r="B227" s="3">
        <v>2040</v>
      </c>
      <c r="C227" s="48">
        <f t="shared" ref="C227:O227" si="114">IFERROR(C178/C36*1000,"")</f>
        <v>0.48569868750201922</v>
      </c>
      <c r="D227" s="48">
        <f t="shared" si="114"/>
        <v>0.2052449917238244</v>
      </c>
      <c r="E227" s="48">
        <f t="shared" si="114"/>
        <v>0.95</v>
      </c>
      <c r="F227" s="48">
        <f t="shared" si="114"/>
        <v>4.4180837968888813</v>
      </c>
      <c r="G227" s="48">
        <f t="shared" si="114"/>
        <v>0.3</v>
      </c>
      <c r="H227" s="48" t="str">
        <f t="shared" si="114"/>
        <v/>
      </c>
      <c r="I227" s="48">
        <f t="shared" si="114"/>
        <v>3.2999999999999994</v>
      </c>
      <c r="J227" s="48">
        <f t="shared" si="114"/>
        <v>1.6999999999999997</v>
      </c>
      <c r="K227" s="48" t="str">
        <f t="shared" si="114"/>
        <v/>
      </c>
      <c r="L227" s="48">
        <f t="shared" si="114"/>
        <v>1.6499999999999997</v>
      </c>
      <c r="M227" s="48" t="str">
        <f t="shared" si="114"/>
        <v/>
      </c>
      <c r="N227" s="48">
        <f t="shared" si="114"/>
        <v>0.17976349677619732</v>
      </c>
      <c r="O227" s="48" t="str">
        <f t="shared" si="114"/>
        <v/>
      </c>
      <c r="P227" s="53"/>
      <c r="T227" s="42">
        <f>IFERROR(T178/T36*1000,"")</f>
        <v>0.47692314503622002</v>
      </c>
    </row>
    <row r="228" spans="2:20" x14ac:dyDescent="0.3">
      <c r="B228" s="3">
        <v>2050</v>
      </c>
      <c r="C228" s="48" t="str">
        <f t="shared" ref="C228:O228" si="115">IFERROR(C179/C37*1000,"")</f>
        <v/>
      </c>
      <c r="D228" s="48" t="str">
        <f t="shared" si="115"/>
        <v/>
      </c>
      <c r="E228" s="48">
        <f t="shared" si="115"/>
        <v>0.95</v>
      </c>
      <c r="F228" s="48" t="str">
        <f t="shared" si="115"/>
        <v/>
      </c>
      <c r="G228" s="48">
        <f t="shared" si="115"/>
        <v>0.3</v>
      </c>
      <c r="H228" s="48" t="str">
        <f t="shared" si="115"/>
        <v/>
      </c>
      <c r="I228" s="48" t="str">
        <f t="shared" si="115"/>
        <v/>
      </c>
      <c r="J228" s="48" t="str">
        <f t="shared" si="115"/>
        <v/>
      </c>
      <c r="K228" s="48" t="str">
        <f t="shared" si="115"/>
        <v/>
      </c>
      <c r="L228" s="48">
        <f t="shared" si="115"/>
        <v>1.6499999999999997</v>
      </c>
      <c r="M228" s="48" t="str">
        <f t="shared" si="115"/>
        <v/>
      </c>
      <c r="N228" s="48">
        <f t="shared" si="115"/>
        <v>0.17900781841423921</v>
      </c>
      <c r="O228" s="48" t="str">
        <f t="shared" si="115"/>
        <v/>
      </c>
      <c r="P228" s="53"/>
      <c r="T228" s="42">
        <f>IFERROR(T179/T37*1000,"")</f>
        <v>0.51409639288798314</v>
      </c>
    </row>
    <row r="229" spans="2:20" x14ac:dyDescent="0.3">
      <c r="B229" s="41"/>
    </row>
    <row r="230" spans="2:20" ht="28.8" x14ac:dyDescent="0.3">
      <c r="B230" s="43" t="s">
        <v>47</v>
      </c>
    </row>
    <row r="231" spans="2:20" x14ac:dyDescent="0.3">
      <c r="B231" s="3">
        <v>2016</v>
      </c>
      <c r="C231" s="48">
        <f t="shared" ref="C231:O231" si="116">IFERROR(C186/C40*1000,"")</f>
        <v>1.1384026570269674</v>
      </c>
      <c r="D231" s="48" t="str">
        <f t="shared" si="116"/>
        <v/>
      </c>
      <c r="E231" s="48" t="str">
        <f t="shared" si="116"/>
        <v/>
      </c>
      <c r="F231" s="48" t="str">
        <f t="shared" si="116"/>
        <v/>
      </c>
      <c r="G231" s="48" t="str">
        <f t="shared" si="116"/>
        <v/>
      </c>
      <c r="H231" s="48">
        <f t="shared" si="116"/>
        <v>0.70507456548359604</v>
      </c>
      <c r="I231" s="48">
        <f t="shared" si="116"/>
        <v>2.2907692307692313</v>
      </c>
      <c r="J231" s="48" t="str">
        <f t="shared" si="116"/>
        <v/>
      </c>
      <c r="K231" s="48" t="str">
        <f t="shared" si="116"/>
        <v/>
      </c>
      <c r="L231" s="48">
        <f t="shared" si="116"/>
        <v>1.61</v>
      </c>
      <c r="M231" s="48" t="str">
        <f t="shared" si="116"/>
        <v/>
      </c>
      <c r="N231" s="48" t="str">
        <f t="shared" si="116"/>
        <v/>
      </c>
      <c r="O231" s="48" t="str">
        <f t="shared" si="116"/>
        <v/>
      </c>
      <c r="P231" s="53"/>
      <c r="T231" s="42">
        <f>IFERROR(T186/Inputs_Summary!L72*1000,"")</f>
        <v>2.6584816437790652E-2</v>
      </c>
    </row>
    <row r="232" spans="2:20" x14ac:dyDescent="0.3">
      <c r="B232" s="3">
        <v>2030</v>
      </c>
      <c r="C232" s="48">
        <f t="shared" ref="C232:O232" si="117">IFERROR(C187/C41*1000,"")</f>
        <v>1.1272361570027352</v>
      </c>
      <c r="D232" s="48" t="str">
        <f t="shared" si="117"/>
        <v/>
      </c>
      <c r="E232" s="48" t="str">
        <f t="shared" si="117"/>
        <v/>
      </c>
      <c r="F232" s="48" t="str">
        <f t="shared" si="117"/>
        <v/>
      </c>
      <c r="G232" s="48">
        <f t="shared" si="117"/>
        <v>1.2400000000000002</v>
      </c>
      <c r="H232" s="48">
        <f t="shared" si="117"/>
        <v>0.70507456548359604</v>
      </c>
      <c r="I232" s="48">
        <f t="shared" si="117"/>
        <v>2.2907692307692304</v>
      </c>
      <c r="J232" s="48">
        <f t="shared" si="117"/>
        <v>0.79657730380457292</v>
      </c>
      <c r="K232" s="48">
        <f t="shared" si="117"/>
        <v>0.86613565731258368</v>
      </c>
      <c r="L232" s="48">
        <f t="shared" si="117"/>
        <v>1.61</v>
      </c>
      <c r="M232" s="48" t="str">
        <f t="shared" si="117"/>
        <v/>
      </c>
      <c r="N232" s="48">
        <f t="shared" si="117"/>
        <v>1.1036877141102286</v>
      </c>
      <c r="O232" s="48" t="str">
        <f t="shared" si="117"/>
        <v/>
      </c>
      <c r="P232" s="53"/>
      <c r="T232" s="42">
        <f>IFERROR(T187/Inputs_Summary!L73*1000,"")</f>
        <v>0.32872835210905055</v>
      </c>
    </row>
    <row r="233" spans="2:20" x14ac:dyDescent="0.3">
      <c r="B233" s="3">
        <v>2040</v>
      </c>
      <c r="C233" s="52">
        <f t="shared" ref="C233:O233" si="118">IFERROR(C188/C42*1000,"")</f>
        <v>1.1059987158040465</v>
      </c>
      <c r="D233" s="52" t="str">
        <f t="shared" si="118"/>
        <v/>
      </c>
      <c r="E233" s="52" t="str">
        <f t="shared" si="118"/>
        <v/>
      </c>
      <c r="F233" s="52" t="str">
        <f t="shared" si="118"/>
        <v/>
      </c>
      <c r="G233" s="52">
        <f t="shared" si="118"/>
        <v>1.24</v>
      </c>
      <c r="H233" s="52" t="str">
        <f t="shared" si="118"/>
        <v/>
      </c>
      <c r="I233" s="52">
        <f t="shared" si="118"/>
        <v>2.2907692307692309</v>
      </c>
      <c r="J233" s="52">
        <f t="shared" si="118"/>
        <v>0.79657730380457292</v>
      </c>
      <c r="K233" s="52">
        <f t="shared" si="118"/>
        <v>0.85835514793630086</v>
      </c>
      <c r="L233" s="52">
        <f t="shared" si="118"/>
        <v>1.61</v>
      </c>
      <c r="M233" s="52" t="str">
        <f t="shared" si="118"/>
        <v/>
      </c>
      <c r="N233" s="52">
        <f t="shared" si="118"/>
        <v>1.1376876526134938</v>
      </c>
      <c r="O233" s="52" t="str">
        <f t="shared" si="118"/>
        <v/>
      </c>
      <c r="P233" s="53"/>
      <c r="T233" s="42">
        <f>IFERROR(T188/Inputs_Summary!L74*1000,"")</f>
        <v>0.27151205129530565</v>
      </c>
    </row>
    <row r="234" spans="2:20" x14ac:dyDescent="0.3">
      <c r="B234" s="3">
        <v>2050</v>
      </c>
      <c r="C234" s="55">
        <f t="shared" ref="C234:O234" si="119">IFERROR(C189/C43*1000,"")</f>
        <v>1.1091443396768255</v>
      </c>
      <c r="D234" s="55" t="str">
        <f t="shared" si="119"/>
        <v/>
      </c>
      <c r="E234" s="55" t="str">
        <f t="shared" si="119"/>
        <v/>
      </c>
      <c r="F234" s="55" t="str">
        <f t="shared" si="119"/>
        <v/>
      </c>
      <c r="G234" s="55">
        <f t="shared" si="119"/>
        <v>1.24</v>
      </c>
      <c r="H234" s="55" t="str">
        <f t="shared" si="119"/>
        <v/>
      </c>
      <c r="I234" s="55" t="str">
        <f t="shared" si="119"/>
        <v/>
      </c>
      <c r="J234" s="55" t="str">
        <f t="shared" si="119"/>
        <v/>
      </c>
      <c r="K234" s="55" t="str">
        <f t="shared" si="119"/>
        <v/>
      </c>
      <c r="L234" s="55" t="str">
        <f t="shared" si="119"/>
        <v/>
      </c>
      <c r="M234" s="55" t="str">
        <f t="shared" si="119"/>
        <v/>
      </c>
      <c r="N234" s="55">
        <f t="shared" si="119"/>
        <v>1.1728183958860166</v>
      </c>
      <c r="O234" s="55" t="str">
        <f t="shared" si="119"/>
        <v/>
      </c>
      <c r="P234" s="53"/>
      <c r="T234" s="42">
        <f>IFERROR(T189/Inputs_Summary!L75*1000,"")</f>
        <v>0.21401496020400249</v>
      </c>
    </row>
    <row r="235" spans="2:20" s="11" customFormat="1" x14ac:dyDescent="0.3"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T235" s="54"/>
    </row>
    <row r="236" spans="2:20" ht="28.8" x14ac:dyDescent="0.3">
      <c r="B236" s="43" t="s">
        <v>49</v>
      </c>
      <c r="T236" s="42"/>
    </row>
    <row r="237" spans="2:20" x14ac:dyDescent="0.3">
      <c r="B237" s="3">
        <v>2016</v>
      </c>
      <c r="C237" s="48" t="str">
        <f t="shared" ref="C237:O237" si="120">IFERROR(C206/C46*1000,"")</f>
        <v/>
      </c>
      <c r="D237" s="48" t="str">
        <f t="shared" si="120"/>
        <v/>
      </c>
      <c r="E237" s="48" t="str">
        <f t="shared" si="120"/>
        <v/>
      </c>
      <c r="F237" s="48" t="str">
        <f t="shared" si="120"/>
        <v/>
      </c>
      <c r="G237" s="48" t="str">
        <f t="shared" si="120"/>
        <v/>
      </c>
      <c r="H237" s="48" t="str">
        <f t="shared" si="120"/>
        <v/>
      </c>
      <c r="I237" s="48" t="str">
        <f t="shared" si="120"/>
        <v/>
      </c>
      <c r="J237" s="48" t="str">
        <f t="shared" si="120"/>
        <v/>
      </c>
      <c r="K237" s="48" t="str">
        <f t="shared" si="120"/>
        <v/>
      </c>
      <c r="L237" s="48" t="str">
        <f t="shared" si="120"/>
        <v/>
      </c>
      <c r="M237" s="48" t="str">
        <f t="shared" si="120"/>
        <v/>
      </c>
      <c r="N237" s="48" t="str">
        <f t="shared" si="120"/>
        <v/>
      </c>
      <c r="O237" s="48" t="str">
        <f t="shared" si="120"/>
        <v/>
      </c>
      <c r="P237" s="53"/>
      <c r="T237" s="42">
        <f>IFERROR(T206/Inputs_Summary!L72*1000,"")</f>
        <v>0</v>
      </c>
    </row>
    <row r="238" spans="2:20" x14ac:dyDescent="0.3">
      <c r="B238" s="3">
        <v>2030</v>
      </c>
      <c r="C238" s="48" t="str">
        <f t="shared" ref="C238:O238" si="121">IFERROR(C207/C47*1000,"")</f>
        <v/>
      </c>
      <c r="D238" s="48" t="str">
        <f t="shared" si="121"/>
        <v/>
      </c>
      <c r="E238" s="48">
        <f t="shared" si="121"/>
        <v>1.5001936702115519</v>
      </c>
      <c r="F238" s="48">
        <f t="shared" si="121"/>
        <v>4.0261104914052686</v>
      </c>
      <c r="G238" s="48" t="str">
        <f t="shared" si="121"/>
        <v/>
      </c>
      <c r="H238" s="48">
        <f t="shared" si="121"/>
        <v>0.59624540989533525</v>
      </c>
      <c r="I238" s="48" t="str">
        <f t="shared" si="121"/>
        <v/>
      </c>
      <c r="J238" s="48">
        <f t="shared" si="121"/>
        <v>0.54471021797627284</v>
      </c>
      <c r="K238" s="48">
        <f t="shared" si="121"/>
        <v>1.632371054559705</v>
      </c>
      <c r="L238" s="48" t="str">
        <f t="shared" si="121"/>
        <v/>
      </c>
      <c r="M238" s="48" t="str">
        <f t="shared" si="121"/>
        <v/>
      </c>
      <c r="N238" s="48" t="str">
        <f t="shared" si="121"/>
        <v/>
      </c>
      <c r="O238" s="48" t="str">
        <f t="shared" si="121"/>
        <v/>
      </c>
      <c r="P238" s="53"/>
      <c r="T238" s="42">
        <f>IFERROR(T207/Inputs_Summary!L73*1000,"")</f>
        <v>0.17298901807036721</v>
      </c>
    </row>
    <row r="239" spans="2:20" x14ac:dyDescent="0.3">
      <c r="B239" s="3">
        <v>2040</v>
      </c>
      <c r="C239" s="48">
        <f t="shared" ref="C239:O239" si="122">IFERROR(C208/C48*1000,"")</f>
        <v>0.96398293812871405</v>
      </c>
      <c r="D239" s="48" t="str">
        <f t="shared" si="122"/>
        <v/>
      </c>
      <c r="E239" s="48">
        <f t="shared" si="122"/>
        <v>1.4789760737565061</v>
      </c>
      <c r="F239" s="48">
        <f t="shared" si="122"/>
        <v>5.2008198936007721</v>
      </c>
      <c r="G239" s="48">
        <f t="shared" si="122"/>
        <v>1.048007689523023</v>
      </c>
      <c r="H239" s="48">
        <f t="shared" si="122"/>
        <v>0.62078597274913783</v>
      </c>
      <c r="I239" s="48" t="str">
        <f t="shared" si="122"/>
        <v/>
      </c>
      <c r="J239" s="48">
        <f t="shared" si="122"/>
        <v>0.50962802177654098</v>
      </c>
      <c r="K239" s="48">
        <f t="shared" si="122"/>
        <v>1.6359721080582224</v>
      </c>
      <c r="L239" s="48" t="str">
        <f t="shared" si="122"/>
        <v/>
      </c>
      <c r="M239" s="48" t="str">
        <f t="shared" si="122"/>
        <v/>
      </c>
      <c r="N239" s="48" t="str">
        <f t="shared" si="122"/>
        <v/>
      </c>
      <c r="O239" s="48" t="str">
        <f t="shared" si="122"/>
        <v/>
      </c>
      <c r="P239" s="53"/>
      <c r="T239" s="42">
        <f>IFERROR(T208/Inputs_Summary!L74*1000,"")</f>
        <v>0.54357039715211242</v>
      </c>
    </row>
    <row r="240" spans="2:20" x14ac:dyDescent="0.3">
      <c r="B240" s="3">
        <v>2050</v>
      </c>
      <c r="C240" s="48">
        <f t="shared" ref="C240:O240" si="123">IFERROR(C209/C49*1000,"")</f>
        <v>0.98394107616138093</v>
      </c>
      <c r="D240" s="48" t="str">
        <f t="shared" si="123"/>
        <v/>
      </c>
      <c r="E240" s="48">
        <f t="shared" si="123"/>
        <v>1.5113584298757055</v>
      </c>
      <c r="F240" s="48">
        <f t="shared" si="123"/>
        <v>6.0476091293695058</v>
      </c>
      <c r="G240" s="48">
        <f t="shared" si="123"/>
        <v>1.041799492705995</v>
      </c>
      <c r="H240" s="48">
        <f t="shared" si="123"/>
        <v>0.62670379379160379</v>
      </c>
      <c r="I240" s="48" t="str">
        <f t="shared" si="123"/>
        <v/>
      </c>
      <c r="J240" s="48">
        <f t="shared" si="123"/>
        <v>0.48136103921021883</v>
      </c>
      <c r="K240" s="48">
        <f t="shared" si="123"/>
        <v>1.6392821113346225</v>
      </c>
      <c r="L240" s="48" t="str">
        <f t="shared" si="123"/>
        <v/>
      </c>
      <c r="M240" s="48" t="str">
        <f t="shared" si="123"/>
        <v/>
      </c>
      <c r="N240" s="48" t="str">
        <f t="shared" si="123"/>
        <v/>
      </c>
      <c r="O240" s="48" t="str">
        <f t="shared" si="123"/>
        <v/>
      </c>
      <c r="P240" s="53"/>
      <c r="T240" s="42">
        <f>IFERROR(T209/Inputs_Summary!L75*1000,"")</f>
        <v>0.73313585976590212</v>
      </c>
    </row>
    <row r="241" spans="2:25" x14ac:dyDescent="0.3">
      <c r="B241" s="41"/>
    </row>
    <row r="242" spans="2:25" ht="28.8" x14ac:dyDescent="0.3">
      <c r="B242" s="43" t="s">
        <v>50</v>
      </c>
      <c r="T242" s="43" t="s">
        <v>75</v>
      </c>
      <c r="U242" s="43" t="s">
        <v>73</v>
      </c>
      <c r="V242" s="43" t="s">
        <v>74</v>
      </c>
    </row>
    <row r="243" spans="2:25" x14ac:dyDescent="0.3">
      <c r="B243" s="3">
        <v>2016</v>
      </c>
      <c r="C243" s="48">
        <f t="shared" ref="C243:O243" si="124">IFERROR(C212/C52*1000,"")</f>
        <v>0.50655526618775526</v>
      </c>
      <c r="D243" s="48">
        <f t="shared" si="124"/>
        <v>0.20487259277908632</v>
      </c>
      <c r="E243" s="48">
        <f t="shared" si="124"/>
        <v>0.95000000000000007</v>
      </c>
      <c r="F243" s="48">
        <f t="shared" si="124"/>
        <v>2.7719237674542714</v>
      </c>
      <c r="G243" s="48">
        <f t="shared" si="124"/>
        <v>0.30000000000000004</v>
      </c>
      <c r="H243" s="48">
        <f t="shared" si="124"/>
        <v>0.90627498841401932</v>
      </c>
      <c r="I243" s="48">
        <f t="shared" si="124"/>
        <v>3.2072892683226946</v>
      </c>
      <c r="J243" s="48">
        <f t="shared" si="124"/>
        <v>1.6999999999999997</v>
      </c>
      <c r="K243" s="48" t="str">
        <f t="shared" si="124"/>
        <v/>
      </c>
      <c r="L243" s="48">
        <f t="shared" si="124"/>
        <v>1.6490506641141827</v>
      </c>
      <c r="M243" s="48" t="str">
        <f t="shared" si="124"/>
        <v/>
      </c>
      <c r="N243" s="48">
        <f t="shared" si="124"/>
        <v>0.15605822366857675</v>
      </c>
      <c r="O243" s="48" t="str">
        <f t="shared" si="124"/>
        <v/>
      </c>
      <c r="P243" s="53"/>
      <c r="T243" s="47">
        <f>IFERROR(T212/Inputs_Summary!L72*1000,"")</f>
        <v>0.53699865540086611</v>
      </c>
      <c r="U243" s="42">
        <f>T243+Inputs_Summary!$L$62</f>
        <v>0.83699865540086615</v>
      </c>
      <c r="V243" s="42">
        <f>U243+Inputs_Summary!L64*T128/T52</f>
        <v>0.94267330167283891</v>
      </c>
    </row>
    <row r="244" spans="2:25" x14ac:dyDescent="0.3">
      <c r="B244" s="3">
        <v>2030</v>
      </c>
      <c r="C244" s="48">
        <f t="shared" ref="C244:O244" si="125">IFERROR(C213/C53*1000,"")</f>
        <v>0.69363511237222153</v>
      </c>
      <c r="D244" s="48">
        <f t="shared" si="125"/>
        <v>0.20562322727933935</v>
      </c>
      <c r="E244" s="48">
        <f t="shared" si="125"/>
        <v>1.4282029420594327</v>
      </c>
      <c r="F244" s="48">
        <f t="shared" si="125"/>
        <v>4.0914049280091813</v>
      </c>
      <c r="G244" s="48">
        <f t="shared" si="125"/>
        <v>0.31457022076092056</v>
      </c>
      <c r="H244" s="48">
        <f t="shared" si="125"/>
        <v>0.66294388337519417</v>
      </c>
      <c r="I244" s="48">
        <f t="shared" si="125"/>
        <v>2.4584311046240797</v>
      </c>
      <c r="J244" s="48">
        <f t="shared" si="125"/>
        <v>0.84034276327599799</v>
      </c>
      <c r="K244" s="48">
        <f t="shared" si="125"/>
        <v>1.5096177383802261</v>
      </c>
      <c r="L244" s="48">
        <f t="shared" si="125"/>
        <v>1.6343241137514608</v>
      </c>
      <c r="M244" s="48" t="str">
        <f t="shared" si="125"/>
        <v/>
      </c>
      <c r="N244" s="48">
        <f t="shared" si="125"/>
        <v>0.84387269516949825</v>
      </c>
      <c r="O244" s="48" t="str">
        <f t="shared" si="125"/>
        <v/>
      </c>
      <c r="P244" s="53"/>
      <c r="T244" s="47">
        <f>IFERROR(T213/Inputs_Summary!L73*1000,"")</f>
        <v>0.78827130080519958</v>
      </c>
      <c r="U244" s="42">
        <f>T244+Inputs_Summary!$L$62</f>
        <v>1.0882713008051996</v>
      </c>
      <c r="V244" s="42">
        <f>U244+Inputs_Summary!L65*T129/T53</f>
        <v>1.1724659499749033</v>
      </c>
    </row>
    <row r="245" spans="2:25" x14ac:dyDescent="0.3">
      <c r="B245" s="3">
        <v>2040</v>
      </c>
      <c r="C245" s="48">
        <f t="shared" ref="C245:O245" si="126">IFERROR(C214/C54*1000,"")</f>
        <v>0.90775307182362919</v>
      </c>
      <c r="D245" s="48">
        <f t="shared" si="126"/>
        <v>0.2052449917238244</v>
      </c>
      <c r="E245" s="48">
        <f t="shared" si="126"/>
        <v>1.43819036519205</v>
      </c>
      <c r="F245" s="48">
        <f t="shared" si="126"/>
        <v>5.1802409164102245</v>
      </c>
      <c r="G245" s="48">
        <f t="shared" si="126"/>
        <v>0.71099170606218465</v>
      </c>
      <c r="H245" s="48">
        <f t="shared" si="126"/>
        <v>0.62078597274913783</v>
      </c>
      <c r="I245" s="48">
        <f t="shared" si="126"/>
        <v>2.4589410312295201</v>
      </c>
      <c r="J245" s="48">
        <f t="shared" si="126"/>
        <v>0.58230007238209736</v>
      </c>
      <c r="K245" s="48">
        <f t="shared" si="126"/>
        <v>1.5106522176990536</v>
      </c>
      <c r="L245" s="48">
        <f t="shared" si="126"/>
        <v>1.6344427596664135</v>
      </c>
      <c r="M245" s="48" t="str">
        <f t="shared" si="126"/>
        <v/>
      </c>
      <c r="N245" s="48">
        <f t="shared" si="126"/>
        <v>0.85998602879503971</v>
      </c>
      <c r="O245" s="48" t="str">
        <f t="shared" si="126"/>
        <v/>
      </c>
      <c r="P245" s="53"/>
      <c r="T245" s="47">
        <f>IFERROR(T214/Inputs_Summary!L74*1000,"")</f>
        <v>0.92061565047126603</v>
      </c>
      <c r="U245" s="42">
        <f>T245+Inputs_Summary!$L$62</f>
        <v>1.220615650471266</v>
      </c>
      <c r="V245" s="42">
        <f>U245+Inputs_Summary!L66*T130/T54</f>
        <v>1.2850307866666633</v>
      </c>
    </row>
    <row r="246" spans="2:25" x14ac:dyDescent="0.3">
      <c r="B246" s="3">
        <v>2050</v>
      </c>
      <c r="C246" s="48">
        <f t="shared" ref="C246:O246" si="127">IFERROR(C215/C55*1000,"")</f>
        <v>1.0333728317686326</v>
      </c>
      <c r="D246" s="48" t="str">
        <f t="shared" si="127"/>
        <v/>
      </c>
      <c r="E246" s="48">
        <f t="shared" si="127"/>
        <v>1.4737602766890507</v>
      </c>
      <c r="F246" s="48">
        <f t="shared" si="127"/>
        <v>6.0476091293695058</v>
      </c>
      <c r="G246" s="48">
        <f t="shared" si="127"/>
        <v>0.70876000492922064</v>
      </c>
      <c r="H246" s="48">
        <f t="shared" si="127"/>
        <v>0.62670379379160379</v>
      </c>
      <c r="I246" s="48" t="str">
        <f t="shared" si="127"/>
        <v/>
      </c>
      <c r="J246" s="48">
        <f t="shared" si="127"/>
        <v>0.48136103921021883</v>
      </c>
      <c r="K246" s="48">
        <f t="shared" si="127"/>
        <v>1.6392821113346225</v>
      </c>
      <c r="L246" s="48">
        <f t="shared" si="127"/>
        <v>1.6499999999999997</v>
      </c>
      <c r="M246" s="48" t="str">
        <f t="shared" si="127"/>
        <v/>
      </c>
      <c r="N246" s="48">
        <f t="shared" si="127"/>
        <v>0.87211042106578152</v>
      </c>
      <c r="O246" s="48" t="str">
        <f t="shared" si="127"/>
        <v/>
      </c>
      <c r="P246" s="53"/>
      <c r="T246" s="47">
        <f>IFERROR(T215/Inputs_Summary!L75*1000,"")</f>
        <v>0.97295278905087401</v>
      </c>
      <c r="U246" s="42">
        <f>T246+Inputs_Summary!$L$62</f>
        <v>1.2729527890508741</v>
      </c>
      <c r="V246" s="42">
        <f>U246+Inputs_Summary!L67*T131/T55</f>
        <v>1.3358672278122454</v>
      </c>
    </row>
    <row r="247" spans="2:25" s="58" customFormat="1" ht="21" x14ac:dyDescent="0.4">
      <c r="B247" s="59"/>
      <c r="O247" s="3"/>
      <c r="P247" s="11"/>
      <c r="Q247" s="3"/>
      <c r="R247" s="3"/>
    </row>
    <row r="248" spans="2:25" s="9" customFormat="1" ht="21" x14ac:dyDescent="0.4">
      <c r="B248" s="10" t="s">
        <v>131</v>
      </c>
      <c r="Y248" s="86"/>
    </row>
    <row r="249" spans="2:25" x14ac:dyDescent="0.3">
      <c r="Y249" s="12"/>
    </row>
    <row r="250" spans="2:25" ht="28.8" x14ac:dyDescent="0.3">
      <c r="B250" s="43" t="s">
        <v>124</v>
      </c>
      <c r="C250" s="43" t="s">
        <v>0</v>
      </c>
      <c r="D250" s="43" t="s">
        <v>1</v>
      </c>
      <c r="E250" s="43" t="s">
        <v>28</v>
      </c>
      <c r="F250" s="2" t="s">
        <v>29</v>
      </c>
      <c r="G250" s="2" t="s">
        <v>6</v>
      </c>
      <c r="H250" s="43" t="s">
        <v>2</v>
      </c>
      <c r="I250" s="43" t="s">
        <v>3</v>
      </c>
      <c r="J250" s="43" t="s">
        <v>4</v>
      </c>
      <c r="K250" s="43" t="s">
        <v>9</v>
      </c>
      <c r="L250" s="43" t="s">
        <v>8</v>
      </c>
      <c r="M250" s="43" t="s">
        <v>25</v>
      </c>
      <c r="N250" s="43" t="s">
        <v>7</v>
      </c>
      <c r="O250" s="43" t="s">
        <v>89</v>
      </c>
      <c r="P250" s="25"/>
      <c r="Q250" s="43" t="s">
        <v>5</v>
      </c>
      <c r="R250" s="43" t="s">
        <v>91</v>
      </c>
      <c r="T250" s="43" t="s">
        <v>10</v>
      </c>
      <c r="Y250" s="12"/>
    </row>
    <row r="251" spans="2:25" x14ac:dyDescent="0.3">
      <c r="B251" s="3">
        <v>2016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3"/>
      <c r="Q251" s="5">
        <f>G251+N251</f>
        <v>0</v>
      </c>
      <c r="R251" s="5">
        <f>SUM(K251:L251)</f>
        <v>0</v>
      </c>
      <c r="T251" s="5">
        <f>SUM(C251:O251)</f>
        <v>0</v>
      </c>
      <c r="Y251" s="12"/>
    </row>
    <row r="252" spans="2:25" x14ac:dyDescent="0.3">
      <c r="B252" s="3">
        <v>2030</v>
      </c>
      <c r="C252" s="50">
        <f>Inputs_Summary!E$53*((C11+C17))/14/1000</f>
        <v>17416.822857142859</v>
      </c>
      <c r="D252" s="50">
        <f>Inputs_Summary!F$53*((D11+D17))/14/1000</f>
        <v>0</v>
      </c>
      <c r="E252" s="50">
        <f>Inputs_Summary!G$53*((E11+E17))/14/1000</f>
        <v>1712.88</v>
      </c>
      <c r="F252" s="50">
        <f>Inputs_Summary!H$53*((F11+F17))/14/1000</f>
        <v>1941.5314285714287</v>
      </c>
      <c r="G252" s="50">
        <f>Inputs_Summary!I$53*((G11+G17))/14/1000</f>
        <v>0</v>
      </c>
      <c r="H252" s="50">
        <f>Inputs_Summary!J$53*((H11+H17))/14/1000</f>
        <v>4480</v>
      </c>
      <c r="I252" s="50">
        <f>Inputs_Summary!K$53*((I11+I17))/14/1000</f>
        <v>1578.5714285714287</v>
      </c>
      <c r="J252" s="50">
        <f>Inputs_Summary!L$53*((J11+J17))/14/1000</f>
        <v>3383.36</v>
      </c>
      <c r="K252" s="50">
        <f>Inputs_Summary!M$53*((K11+K17))/14/1000</f>
        <v>0</v>
      </c>
      <c r="L252" s="50">
        <f>Inputs_Summary!N$53*((L11+L17))/14/1000</f>
        <v>0</v>
      </c>
      <c r="M252" s="50">
        <f>Inputs_Summary!O$53*((M11+M17))/14/1000</f>
        <v>0</v>
      </c>
      <c r="N252" s="50">
        <f>Inputs_Summary!P$53*((N11+N17))/14/1000</f>
        <v>0</v>
      </c>
      <c r="O252" s="50">
        <f>Inputs_Summary!Q$53*((O11+O17))/14/1000</f>
        <v>0</v>
      </c>
      <c r="P252" s="53"/>
      <c r="Q252" s="5">
        <f>G252+N252</f>
        <v>0</v>
      </c>
      <c r="R252" s="5">
        <f>SUM(K252:L252)</f>
        <v>0</v>
      </c>
      <c r="T252" s="5">
        <f>SUM(C252:O252)</f>
        <v>30513.165714285718</v>
      </c>
      <c r="Y252" s="12"/>
    </row>
    <row r="253" spans="2:25" x14ac:dyDescent="0.3">
      <c r="B253" s="3">
        <v>2040</v>
      </c>
      <c r="C253" s="50">
        <f>Inputs_Summary!E$53*((C12+C18))/10/1000</f>
        <v>47396.552000000003</v>
      </c>
      <c r="D253" s="50">
        <f>Inputs_Summary!F$53*((D12+D18))/10/1000</f>
        <v>0</v>
      </c>
      <c r="E253" s="50">
        <f>Inputs_Summary!G$53*((E12+E18))/10/1000</f>
        <v>4110.9120000000003</v>
      </c>
      <c r="F253" s="50">
        <f>Inputs_Summary!H$53*((F12+F18))/10/1000</f>
        <v>5312.7359999999999</v>
      </c>
      <c r="G253" s="50">
        <f>Inputs_Summary!I$53*((G12+G18))/10/1000</f>
        <v>0</v>
      </c>
      <c r="H253" s="50">
        <f>Inputs_Summary!J$53*((H12+H18))/10/1000</f>
        <v>13632</v>
      </c>
      <c r="I253" s="50">
        <f>Inputs_Summary!K$53*((I12+I18))/10/1000</f>
        <v>2210</v>
      </c>
      <c r="J253" s="50">
        <f>Inputs_Summary!L$53*((J12+J18))/10/1000</f>
        <v>10404.704</v>
      </c>
      <c r="K253" s="50">
        <f>Inputs_Summary!M$53*((K12+K18))/10/1000</f>
        <v>0</v>
      </c>
      <c r="L253" s="50">
        <f>Inputs_Summary!N$53*((L12+L18))/10/1000</f>
        <v>0</v>
      </c>
      <c r="M253" s="50">
        <f>Inputs_Summary!O$53*((M12+M18))/10/1000</f>
        <v>0</v>
      </c>
      <c r="N253" s="50">
        <f>Inputs_Summary!P$53*((N12+N18))/10/1000</f>
        <v>0</v>
      </c>
      <c r="O253" s="50">
        <f>Inputs_Summary!Q$53*((O12+O18))/10/1000</f>
        <v>0</v>
      </c>
      <c r="P253" s="53"/>
      <c r="Q253" s="5">
        <f>G253+N253</f>
        <v>0</v>
      </c>
      <c r="R253" s="5">
        <f>SUM(K253:L253)</f>
        <v>0</v>
      </c>
      <c r="T253" s="5">
        <f>SUM(C253:O253)</f>
        <v>83066.90400000001</v>
      </c>
      <c r="Y253" s="12"/>
    </row>
    <row r="254" spans="2:25" x14ac:dyDescent="0.3">
      <c r="B254" s="3">
        <v>2050</v>
      </c>
      <c r="C254" s="50">
        <f>Inputs_Summary!E$53*((C13+C19))/10/1000</f>
        <v>68491.801999999996</v>
      </c>
      <c r="D254" s="50">
        <f>Inputs_Summary!F$53*((D13+D19))/10/1000</f>
        <v>0</v>
      </c>
      <c r="E254" s="50">
        <f>Inputs_Summary!G$53*((E13+E19))/10/1000</f>
        <v>5138.6400000000003</v>
      </c>
      <c r="F254" s="50">
        <f>Inputs_Summary!H$53*((F13+F19))/10/1000</f>
        <v>6918.9120000000003</v>
      </c>
      <c r="G254" s="50">
        <f>Inputs_Summary!I$53*((G13+G19))/10/1000</f>
        <v>0</v>
      </c>
      <c r="H254" s="50">
        <f>Inputs_Summary!J$53*((H13+H19))/10/1000</f>
        <v>19456</v>
      </c>
      <c r="I254" s="50">
        <f>Inputs_Summary!K$53*((I13+I19))/10/1000</f>
        <v>0</v>
      </c>
      <c r="J254" s="50">
        <f>Inputs_Summary!L$53*((J13+J19))/10/1000</f>
        <v>13777.6</v>
      </c>
      <c r="K254" s="50">
        <f>Inputs_Summary!M$53*((K13+K19))/10/1000</f>
        <v>0</v>
      </c>
      <c r="L254" s="50">
        <f>Inputs_Summary!N$53*((L13+L19))/10/1000</f>
        <v>0</v>
      </c>
      <c r="M254" s="50">
        <f>Inputs_Summary!O$53*((M13+M19))/10/1000</f>
        <v>0</v>
      </c>
      <c r="N254" s="50">
        <f>Inputs_Summary!P$53*((N13+N19))/10/1000</f>
        <v>0</v>
      </c>
      <c r="O254" s="50">
        <f>Inputs_Summary!Q$53*((O13+O19))/10/1000</f>
        <v>0</v>
      </c>
      <c r="P254" s="53"/>
      <c r="Q254" s="5">
        <f>G254+N254</f>
        <v>0</v>
      </c>
      <c r="R254" s="5">
        <f>SUM(K254:L254)</f>
        <v>0</v>
      </c>
      <c r="T254" s="5">
        <f>SUM(C254:O254)</f>
        <v>113782.954</v>
      </c>
      <c r="Y254" s="12"/>
    </row>
    <row r="255" spans="2:25" x14ac:dyDescent="0.3">
      <c r="B255" s="41"/>
      <c r="Y255" s="12"/>
    </row>
    <row r="256" spans="2:25" ht="28.8" x14ac:dyDescent="0.3">
      <c r="B256" s="43" t="s">
        <v>125</v>
      </c>
      <c r="C256" s="43" t="s">
        <v>0</v>
      </c>
      <c r="D256" s="43" t="s">
        <v>1</v>
      </c>
      <c r="E256" s="43" t="s">
        <v>28</v>
      </c>
      <c r="F256" s="2" t="s">
        <v>29</v>
      </c>
      <c r="G256" s="2" t="s">
        <v>6</v>
      </c>
      <c r="H256" s="43" t="s">
        <v>2</v>
      </c>
      <c r="I256" s="43" t="s">
        <v>3</v>
      </c>
      <c r="J256" s="43" t="s">
        <v>4</v>
      </c>
      <c r="K256" s="43" t="s">
        <v>9</v>
      </c>
      <c r="L256" s="43" t="s">
        <v>8</v>
      </c>
      <c r="M256" s="43" t="s">
        <v>25</v>
      </c>
      <c r="N256" s="43" t="s">
        <v>7</v>
      </c>
      <c r="O256" s="43" t="s">
        <v>89</v>
      </c>
      <c r="P256" s="25"/>
      <c r="Q256" s="43" t="s">
        <v>5</v>
      </c>
      <c r="R256" s="43" t="s">
        <v>91</v>
      </c>
      <c r="T256" s="43" t="s">
        <v>10</v>
      </c>
      <c r="Y256" s="12"/>
    </row>
    <row r="257" spans="2:25" x14ac:dyDescent="0.3">
      <c r="B257" s="3">
        <v>2016</v>
      </c>
      <c r="C257" s="50">
        <f>C52*Inputs_Summary!E$54/1000</f>
        <v>47107.164827120068</v>
      </c>
      <c r="D257" s="50">
        <f>D52*Inputs_Summary!F$54/1000</f>
        <v>1194.2541863648376</v>
      </c>
      <c r="E257" s="50">
        <f>E52*Inputs_Summary!G$54/1000</f>
        <v>24.194456191623686</v>
      </c>
      <c r="F257" s="50">
        <f>F52*Inputs_Summary!H$54/1000</f>
        <v>64.778037480530941</v>
      </c>
      <c r="G257" s="50">
        <f>G52*Inputs_Summary!I$54/1000</f>
        <v>0</v>
      </c>
      <c r="H257" s="50">
        <f>H52*Inputs_Summary!J$54/1000</f>
        <v>539.58062264825435</v>
      </c>
      <c r="I257" s="50">
        <f>I52*Inputs_Summary!K$54/1000</f>
        <v>118.48109129456755</v>
      </c>
      <c r="J257" s="50">
        <f>J52*Inputs_Summary!L$54/1000</f>
        <v>290.29948580609926</v>
      </c>
      <c r="K257" s="50">
        <f>K52*Inputs_Summary!M$54/1000</f>
        <v>0</v>
      </c>
      <c r="L257" s="50">
        <f>L52*Inputs_Summary!N$54/1000</f>
        <v>0</v>
      </c>
      <c r="M257" s="50">
        <f>M52*Inputs_Summary!O$54/1000</f>
        <v>0</v>
      </c>
      <c r="N257" s="50">
        <f>N52*Inputs_Summary!P$54/1000</f>
        <v>0</v>
      </c>
      <c r="O257" s="50">
        <f>O52*Inputs_Summary!Q$54/1000</f>
        <v>0</v>
      </c>
      <c r="P257" s="53"/>
      <c r="Q257" s="5">
        <f>G257+N257</f>
        <v>0</v>
      </c>
      <c r="R257" s="5">
        <f>SUM(K257:L257)</f>
        <v>0</v>
      </c>
      <c r="T257" s="5">
        <f>SUM(C257:O257)</f>
        <v>49338.75270690598</v>
      </c>
      <c r="Y257" s="12"/>
    </row>
    <row r="258" spans="2:25" x14ac:dyDescent="0.3">
      <c r="B258" s="3">
        <v>2030</v>
      </c>
      <c r="C258" s="50">
        <f>C53*Inputs_Summary!E$54/1000</f>
        <v>48054.542135727737</v>
      </c>
      <c r="D258" s="50">
        <f>D53*Inputs_Summary!F$54/1000</f>
        <v>1183.4210733841724</v>
      </c>
      <c r="E258" s="50">
        <f>E53*Inputs_Summary!G$54/1000</f>
        <v>545.04255324065741</v>
      </c>
      <c r="F258" s="50">
        <f>F53*Inputs_Summary!H$54/1000</f>
        <v>84.111303652983665</v>
      </c>
      <c r="G258" s="50">
        <f>G53*Inputs_Summary!I$54/1000</f>
        <v>0</v>
      </c>
      <c r="H258" s="50">
        <f>H53*Inputs_Summary!J$54/1000</f>
        <v>4272.0268210129352</v>
      </c>
      <c r="I258" s="50">
        <f>I53*Inputs_Summary!K$54/1000</f>
        <v>656.88496530115629</v>
      </c>
      <c r="J258" s="50">
        <f>J53*Inputs_Summary!L$54/1000</f>
        <v>1349.1732987362263</v>
      </c>
      <c r="K258" s="50">
        <f>K53*Inputs_Summary!M$54/1000</f>
        <v>0</v>
      </c>
      <c r="L258" s="50">
        <f>L53*Inputs_Summary!N$54/1000</f>
        <v>0</v>
      </c>
      <c r="M258" s="50">
        <f>M53*Inputs_Summary!O$54/1000</f>
        <v>0</v>
      </c>
      <c r="N258" s="50">
        <f>N53*Inputs_Summary!P$54/1000</f>
        <v>0</v>
      </c>
      <c r="O258" s="50">
        <f>O53*Inputs_Summary!Q$54/1000</f>
        <v>0</v>
      </c>
      <c r="P258" s="53"/>
      <c r="Q258" s="5">
        <f>G258+N258</f>
        <v>0</v>
      </c>
      <c r="R258" s="5">
        <f>SUM(K258:L258)</f>
        <v>0</v>
      </c>
      <c r="T258" s="5">
        <f>SUM(C258:O258)</f>
        <v>56145.202151055877</v>
      </c>
      <c r="Y258" s="12"/>
    </row>
    <row r="259" spans="2:25" x14ac:dyDescent="0.3">
      <c r="B259" s="3">
        <v>2040</v>
      </c>
      <c r="C259" s="50">
        <f>C54*Inputs_Summary!E$54/1000</f>
        <v>42402.107992319216</v>
      </c>
      <c r="D259" s="50">
        <f>D54*Inputs_Summary!F$54/1000</f>
        <v>1188.8550685056982</v>
      </c>
      <c r="E259" s="50">
        <f>E54*Inputs_Summary!G$54/1000</f>
        <v>933.62202574496973</v>
      </c>
      <c r="F259" s="50">
        <f>F54*Inputs_Summary!H$54/1000</f>
        <v>102.67528473961097</v>
      </c>
      <c r="G259" s="50">
        <f>G54*Inputs_Summary!I$54/1000</f>
        <v>0</v>
      </c>
      <c r="H259" s="50">
        <f>H54*Inputs_Summary!J$54/1000</f>
        <v>7868.2770140069733</v>
      </c>
      <c r="I259" s="50">
        <f>I54*Inputs_Summary!K$54/1000</f>
        <v>658.9033751027597</v>
      </c>
      <c r="J259" s="50">
        <f>J54*Inputs_Summary!L$54/1000</f>
        <v>2431.1868478132765</v>
      </c>
      <c r="K259" s="50">
        <f>K54*Inputs_Summary!M$54/1000</f>
        <v>0</v>
      </c>
      <c r="L259" s="50">
        <f>L54*Inputs_Summary!N$54/1000</f>
        <v>0</v>
      </c>
      <c r="M259" s="50">
        <f>M54*Inputs_Summary!O$54/1000</f>
        <v>0</v>
      </c>
      <c r="N259" s="50">
        <f>N54*Inputs_Summary!P$54/1000</f>
        <v>0</v>
      </c>
      <c r="O259" s="50">
        <f>O54*Inputs_Summary!Q$54/1000</f>
        <v>0</v>
      </c>
      <c r="P259" s="53"/>
      <c r="Q259" s="5">
        <f>G259+N259</f>
        <v>0</v>
      </c>
      <c r="R259" s="5">
        <f>SUM(K259:L259)</f>
        <v>0</v>
      </c>
      <c r="T259" s="5">
        <f>SUM(C259:O259)</f>
        <v>55585.627608232498</v>
      </c>
      <c r="Y259" s="12"/>
    </row>
    <row r="260" spans="2:25" x14ac:dyDescent="0.3">
      <c r="B260" s="3">
        <v>2050</v>
      </c>
      <c r="C260" s="50">
        <f>C55*Inputs_Summary!E$54/1000</f>
        <v>45892.680334340585</v>
      </c>
      <c r="D260" s="50">
        <f>D55*Inputs_Summary!F$54/1000</f>
        <v>0</v>
      </c>
      <c r="E260" s="50">
        <f>E55*Inputs_Summary!G$54/1000</f>
        <v>1056.0507270378926</v>
      </c>
      <c r="F260" s="50">
        <f>F55*Inputs_Summary!H$54/1000</f>
        <v>104.66394389897273</v>
      </c>
      <c r="G260" s="50">
        <f>G55*Inputs_Summary!I$54/1000</f>
        <v>0</v>
      </c>
      <c r="H260" s="50">
        <f>H55*Inputs_Summary!J$54/1000</f>
        <v>11123.800540320581</v>
      </c>
      <c r="I260" s="50">
        <f>I55*Inputs_Summary!K$54/1000</f>
        <v>0</v>
      </c>
      <c r="J260" s="50">
        <f>J55*Inputs_Summary!L$54/1000</f>
        <v>3083.4485533670313</v>
      </c>
      <c r="K260" s="50">
        <f>K55*Inputs_Summary!M$54/1000</f>
        <v>0</v>
      </c>
      <c r="L260" s="50">
        <f>L55*Inputs_Summary!N$54/1000</f>
        <v>0</v>
      </c>
      <c r="M260" s="50">
        <f>M55*Inputs_Summary!O$54/1000</f>
        <v>0</v>
      </c>
      <c r="N260" s="50">
        <f>N55*Inputs_Summary!P$54/1000</f>
        <v>0</v>
      </c>
      <c r="O260" s="50">
        <f>O55*Inputs_Summary!Q$54/1000</f>
        <v>0</v>
      </c>
      <c r="P260" s="53"/>
      <c r="Q260" s="5">
        <f>G260+N260</f>
        <v>0</v>
      </c>
      <c r="R260" s="5">
        <f>SUM(K260:L260)</f>
        <v>0</v>
      </c>
      <c r="T260" s="5">
        <f>SUM(C260:O260)</f>
        <v>61260.644098965065</v>
      </c>
      <c r="Y260" s="12"/>
    </row>
    <row r="261" spans="2:25" x14ac:dyDescent="0.3">
      <c r="B261" s="11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11"/>
      <c r="R261" s="11"/>
      <c r="Y261" s="12"/>
    </row>
    <row r="262" spans="2:25" ht="28.8" x14ac:dyDescent="0.3">
      <c r="B262" s="43" t="s">
        <v>126</v>
      </c>
      <c r="C262" s="43" t="s">
        <v>0</v>
      </c>
      <c r="D262" s="43" t="s">
        <v>1</v>
      </c>
      <c r="E262" s="43" t="s">
        <v>28</v>
      </c>
      <c r="F262" s="2" t="s">
        <v>29</v>
      </c>
      <c r="G262" s="2" t="s">
        <v>6</v>
      </c>
      <c r="H262" s="43" t="s">
        <v>2</v>
      </c>
      <c r="I262" s="43" t="s">
        <v>3</v>
      </c>
      <c r="J262" s="43" t="s">
        <v>4</v>
      </c>
      <c r="K262" s="43" t="s">
        <v>9</v>
      </c>
      <c r="L262" s="43" t="s">
        <v>8</v>
      </c>
      <c r="M262" s="43" t="s">
        <v>25</v>
      </c>
      <c r="N262" s="43" t="s">
        <v>7</v>
      </c>
      <c r="O262" s="43" t="s">
        <v>89</v>
      </c>
      <c r="P262" s="25"/>
      <c r="Q262" s="43" t="s">
        <v>5</v>
      </c>
      <c r="R262" s="43" t="s">
        <v>91</v>
      </c>
      <c r="T262" s="43" t="s">
        <v>10</v>
      </c>
      <c r="Y262" s="12"/>
    </row>
    <row r="263" spans="2:25" x14ac:dyDescent="0.3">
      <c r="B263" s="3">
        <v>2016</v>
      </c>
      <c r="C263" s="50">
        <v>0</v>
      </c>
      <c r="D263" s="50">
        <v>0</v>
      </c>
      <c r="E263" s="50">
        <v>0</v>
      </c>
      <c r="F263" s="50">
        <v>0</v>
      </c>
      <c r="G263" s="50">
        <v>0</v>
      </c>
      <c r="H263" s="50">
        <v>0</v>
      </c>
      <c r="I263" s="50">
        <v>0</v>
      </c>
      <c r="J263" s="50">
        <v>0</v>
      </c>
      <c r="K263" s="50">
        <v>0</v>
      </c>
      <c r="L263" s="50">
        <v>0</v>
      </c>
      <c r="M263" s="50">
        <v>0</v>
      </c>
      <c r="N263" s="50">
        <v>0</v>
      </c>
      <c r="O263" s="50">
        <v>0</v>
      </c>
      <c r="P263" s="53"/>
      <c r="Q263" s="5">
        <f>G263+N263</f>
        <v>0</v>
      </c>
      <c r="R263" s="5">
        <f>SUM(K263:L263)</f>
        <v>0</v>
      </c>
      <c r="T263" s="5">
        <f>SUM(C263:O263)</f>
        <v>0</v>
      </c>
      <c r="Y263" s="12"/>
    </row>
    <row r="264" spans="2:25" x14ac:dyDescent="0.3">
      <c r="B264" s="3">
        <v>2030</v>
      </c>
      <c r="C264" s="50">
        <f>Inputs_Summary!E$56*((C11+C17)-(C10+C16))/14/1000</f>
        <v>3771.1328571428571</v>
      </c>
      <c r="D264" s="50">
        <f>Inputs_Summary!F$56*((D11+D17)-(D10+D16))/14/1000</f>
        <v>0</v>
      </c>
      <c r="E264" s="50">
        <f>Inputs_Summary!G$56*((E11+E17)-(E10+E16))/14/1000</f>
        <v>292.8</v>
      </c>
      <c r="F264" s="50">
        <f>Inputs_Summary!H$56*((F11+F17)-(F10+F16))/14/1000</f>
        <v>331.88571428571424</v>
      </c>
      <c r="G264" s="50">
        <f>Inputs_Summary!I$56*((G11+G17)-(G10+G16))/14/1000</f>
        <v>0</v>
      </c>
      <c r="H264" s="50">
        <f>Inputs_Summary!J$56*((H11+H17)-(H10+H16))/14/1000</f>
        <v>3031.6</v>
      </c>
      <c r="I264" s="50">
        <f>Inputs_Summary!K$56*((I11+I17)-(I10+I16))/14/1000</f>
        <v>546.42857142857144</v>
      </c>
      <c r="J264" s="50">
        <f>Inputs_Summary!L$56*((J11+J17)-(J10+J16))/14/1000</f>
        <v>1908.96</v>
      </c>
      <c r="K264" s="50">
        <f>Inputs_Summary!M$56*((K11+K17)-(K10+K16))/14/1000</f>
        <v>0</v>
      </c>
      <c r="L264" s="50">
        <f>Inputs_Summary!N$56*((L11+L17)-(L10+L16))/14/1000</f>
        <v>0</v>
      </c>
      <c r="M264" s="50">
        <f>Inputs_Summary!O$56*((M11+M17)-(M10+M16))/14/1000</f>
        <v>0</v>
      </c>
      <c r="N264" s="50">
        <f>Inputs_Summary!P$56*((N11+N17)-(N10+N16))/14/1000</f>
        <v>0</v>
      </c>
      <c r="O264" s="50">
        <f>Inputs_Summary!Q$56*((O11+O17)-(O10+O16))/14/1000</f>
        <v>0</v>
      </c>
      <c r="P264" s="53"/>
      <c r="Q264" s="5">
        <f>G264+N264</f>
        <v>0</v>
      </c>
      <c r="R264" s="5">
        <f>SUM(K264:L264)</f>
        <v>0</v>
      </c>
      <c r="T264" s="5">
        <f>SUM(C264:O264)</f>
        <v>9882.8071428571438</v>
      </c>
      <c r="Y264" s="12"/>
    </row>
    <row r="265" spans="2:25" x14ac:dyDescent="0.3">
      <c r="B265" s="3">
        <v>2040</v>
      </c>
      <c r="C265" s="50">
        <f>Inputs_Summary!E$56*((C12+C18))/10/1000</f>
        <v>11103.064</v>
      </c>
      <c r="D265" s="50">
        <f>Inputs_Summary!F$56*((D12+D18))/10/1000</f>
        <v>0</v>
      </c>
      <c r="E265" s="50">
        <f>Inputs_Summary!G$56*((E12+E18))/10/1000</f>
        <v>702.72</v>
      </c>
      <c r="F265" s="50">
        <f>Inputs_Summary!H$56*((F12+F18))/10/1000</f>
        <v>908.16</v>
      </c>
      <c r="G265" s="50">
        <f>Inputs_Summary!I$56*((G12+G18))/10/1000</f>
        <v>0</v>
      </c>
      <c r="H265" s="50">
        <f>Inputs_Summary!J$56*((H12+H18))/10/1000</f>
        <v>9372</v>
      </c>
      <c r="I265" s="50">
        <f>Inputs_Summary!K$56*((I12+I18))/10/1000</f>
        <v>765</v>
      </c>
      <c r="J265" s="50">
        <f>Inputs_Summary!L$56*((J12+J18))/10/1000</f>
        <v>5870.5439999999999</v>
      </c>
      <c r="K265" s="50">
        <f>Inputs_Summary!M$56*((K12+K18))/10/1000</f>
        <v>0</v>
      </c>
      <c r="L265" s="50">
        <f>Inputs_Summary!N$56*((L12+L18))/10/1000</f>
        <v>0</v>
      </c>
      <c r="M265" s="50">
        <f>Inputs_Summary!O$56*((M12+M18))/10/1000</f>
        <v>0</v>
      </c>
      <c r="N265" s="50">
        <f>Inputs_Summary!P$56*((N12+N18))/10/1000</f>
        <v>0</v>
      </c>
      <c r="O265" s="50">
        <f>Inputs_Summary!Q$56*((O12+O18))/10/1000</f>
        <v>0</v>
      </c>
      <c r="P265" s="53"/>
      <c r="Q265" s="5">
        <f>G265+N265</f>
        <v>0</v>
      </c>
      <c r="R265" s="5">
        <f>SUM(K265:L265)</f>
        <v>0</v>
      </c>
      <c r="T265" s="5">
        <f>SUM(C265:O265)</f>
        <v>28721.487999999998</v>
      </c>
      <c r="Y265" s="12"/>
    </row>
    <row r="266" spans="2:25" x14ac:dyDescent="0.3">
      <c r="B266" s="3">
        <v>2050</v>
      </c>
      <c r="C266" s="50">
        <f>Inputs_Summary!E$56*((C13+C19))/10/1000</f>
        <v>16044.814</v>
      </c>
      <c r="D266" s="50">
        <f>Inputs_Summary!F$56*((D13+D19))/10/1000</f>
        <v>0</v>
      </c>
      <c r="E266" s="50">
        <f>Inputs_Summary!G$56*((E13+E19))/10/1000</f>
        <v>878.4</v>
      </c>
      <c r="F266" s="50">
        <f>Inputs_Summary!H$56*((F13+F19))/10/1000</f>
        <v>1182.72</v>
      </c>
      <c r="G266" s="50">
        <f>Inputs_Summary!I$56*((G13+G19))/10/1000</f>
        <v>0</v>
      </c>
      <c r="H266" s="50">
        <f>Inputs_Summary!J$56*((H13+H19))/10/1000</f>
        <v>13376</v>
      </c>
      <c r="I266" s="50">
        <f>Inputs_Summary!K$56*((I13+I19))/10/1000</f>
        <v>0</v>
      </c>
      <c r="J266" s="50">
        <f>Inputs_Summary!L$56*((J13+J19))/10/1000</f>
        <v>7773.6</v>
      </c>
      <c r="K266" s="50">
        <f>Inputs_Summary!M$56*((K13+K19))/10/1000</f>
        <v>0</v>
      </c>
      <c r="L266" s="50">
        <f>Inputs_Summary!N$56*((L13+L19))/10/1000</f>
        <v>0</v>
      </c>
      <c r="M266" s="50">
        <f>Inputs_Summary!O$56*((M13+M19))/10/1000</f>
        <v>0</v>
      </c>
      <c r="N266" s="50">
        <f>Inputs_Summary!P$56*((N13+N19))/10/1000</f>
        <v>0</v>
      </c>
      <c r="O266" s="50">
        <f>Inputs_Summary!Q$56*((O13+O19))/10/1000</f>
        <v>0</v>
      </c>
      <c r="P266" s="53"/>
      <c r="Q266" s="5">
        <f>G266+N266</f>
        <v>0</v>
      </c>
      <c r="R266" s="5">
        <f>SUM(K266:L266)</f>
        <v>0</v>
      </c>
      <c r="T266" s="5">
        <f>SUM(C266:O266)</f>
        <v>39255.534</v>
      </c>
      <c r="Y266" s="12"/>
    </row>
    <row r="267" spans="2:25" x14ac:dyDescent="0.3">
      <c r="B267" s="41"/>
      <c r="Y267" s="12"/>
    </row>
    <row r="268" spans="2:25" ht="28.8" x14ac:dyDescent="0.3">
      <c r="B268" s="43" t="s">
        <v>127</v>
      </c>
      <c r="C268" s="43" t="s">
        <v>0</v>
      </c>
      <c r="D268" s="43" t="s">
        <v>1</v>
      </c>
      <c r="E268" s="43" t="s">
        <v>28</v>
      </c>
      <c r="F268" s="2" t="s">
        <v>29</v>
      </c>
      <c r="G268" s="2" t="s">
        <v>6</v>
      </c>
      <c r="H268" s="43" t="s">
        <v>2</v>
      </c>
      <c r="I268" s="43" t="s">
        <v>3</v>
      </c>
      <c r="J268" s="43" t="s">
        <v>4</v>
      </c>
      <c r="K268" s="43" t="s">
        <v>9</v>
      </c>
      <c r="L268" s="43" t="s">
        <v>8</v>
      </c>
      <c r="M268" s="43" t="s">
        <v>25</v>
      </c>
      <c r="N268" s="43" t="s">
        <v>7</v>
      </c>
      <c r="O268" s="43" t="s">
        <v>89</v>
      </c>
      <c r="P268" s="25"/>
      <c r="Q268" s="43" t="s">
        <v>5</v>
      </c>
      <c r="R268" s="43" t="s">
        <v>91</v>
      </c>
      <c r="T268" s="43" t="s">
        <v>10</v>
      </c>
      <c r="Y268" s="12"/>
    </row>
    <row r="269" spans="2:25" x14ac:dyDescent="0.3">
      <c r="B269" s="38"/>
      <c r="C269" s="50">
        <f>C52*Inputs_Summary!E$57/1000</f>
        <v>29441.978016950041</v>
      </c>
      <c r="D269" s="50">
        <f>D52*Inputs_Summary!F$57/1000</f>
        <v>176.92654612812407</v>
      </c>
      <c r="E269" s="50">
        <f>E52*Inputs_Summary!G$57/1000</f>
        <v>4.5364605359294412</v>
      </c>
      <c r="F269" s="50">
        <f>F52*Inputs_Summary!H$57/1000</f>
        <v>12.145882027599551</v>
      </c>
      <c r="G269" s="50">
        <f>G52*Inputs_Summary!I$57/1000</f>
        <v>0</v>
      </c>
      <c r="H269" s="50">
        <f>H52*Inputs_Summary!J$57/1000</f>
        <v>17.986020754941812</v>
      </c>
      <c r="I269" s="50">
        <f>I52*Inputs_Summary!K$57/1000</f>
        <v>13.670895149373179</v>
      </c>
      <c r="J269" s="50">
        <f>J52*Inputs_Summary!L$57/1000</f>
        <v>47.503552222816239</v>
      </c>
      <c r="K269" s="50">
        <f>K52*Inputs_Summary!M$57/1000</f>
        <v>0</v>
      </c>
      <c r="L269" s="50">
        <f>L52*Inputs_Summary!N$57/1000</f>
        <v>0</v>
      </c>
      <c r="M269" s="50">
        <f>M52*Inputs_Summary!O$57/1000</f>
        <v>0</v>
      </c>
      <c r="N269" s="50">
        <f>N52*Inputs_Summary!P$57/1000</f>
        <v>0</v>
      </c>
      <c r="O269" s="50">
        <f>O52*Inputs_Summary!Q$57/1000</f>
        <v>0</v>
      </c>
      <c r="P269" s="53"/>
      <c r="Q269" s="5">
        <f>G269+N269</f>
        <v>0</v>
      </c>
      <c r="R269" s="5">
        <f>SUM(K269:L269)</f>
        <v>0</v>
      </c>
      <c r="T269" s="5">
        <f>SUM(C269:O269)</f>
        <v>29714.747373768827</v>
      </c>
      <c r="Y269" s="12"/>
    </row>
    <row r="270" spans="2:25" x14ac:dyDescent="0.3">
      <c r="C270" s="50">
        <f>C53*Inputs_Summary!E$57/1000</f>
        <v>30034.088834829839</v>
      </c>
      <c r="D270" s="50">
        <f>D53*Inputs_Summary!F$57/1000</f>
        <v>175.32164050135884</v>
      </c>
      <c r="E270" s="50">
        <f>E53*Inputs_Summary!G$57/1000</f>
        <v>102.19547873262327</v>
      </c>
      <c r="F270" s="50">
        <f>F53*Inputs_Summary!H$57/1000</f>
        <v>15.770869434934436</v>
      </c>
      <c r="G270" s="50">
        <f>G53*Inputs_Summary!I$57/1000</f>
        <v>0</v>
      </c>
      <c r="H270" s="50">
        <f>H53*Inputs_Summary!J$57/1000</f>
        <v>142.40089403376453</v>
      </c>
      <c r="I270" s="50">
        <f>I53*Inputs_Summary!K$57/1000</f>
        <v>75.794419073210335</v>
      </c>
      <c r="J270" s="50">
        <f>J53*Inputs_Summary!L$57/1000</f>
        <v>220.77381252047337</v>
      </c>
      <c r="K270" s="50">
        <f>K53*Inputs_Summary!M$57/1000</f>
        <v>0</v>
      </c>
      <c r="L270" s="50">
        <f>L53*Inputs_Summary!N$57/1000</f>
        <v>0</v>
      </c>
      <c r="M270" s="50">
        <f>M53*Inputs_Summary!O$57/1000</f>
        <v>0</v>
      </c>
      <c r="N270" s="50">
        <f>N53*Inputs_Summary!P$57/1000</f>
        <v>0</v>
      </c>
      <c r="O270" s="50">
        <f>O53*Inputs_Summary!Q$57/1000</f>
        <v>0</v>
      </c>
      <c r="P270" s="53"/>
      <c r="Q270" s="5">
        <f>G270+N270</f>
        <v>0</v>
      </c>
      <c r="R270" s="5">
        <f>SUM(K270:L270)</f>
        <v>0</v>
      </c>
      <c r="T270" s="5">
        <f>SUM(C270:O270)</f>
        <v>30766.345949126207</v>
      </c>
      <c r="Y270" s="12"/>
    </row>
    <row r="271" spans="2:25" x14ac:dyDescent="0.3">
      <c r="C271" s="50">
        <f>C54*Inputs_Summary!E$57/1000</f>
        <v>26501.31749519951</v>
      </c>
      <c r="D271" s="50">
        <f>D54*Inputs_Summary!F$57/1000</f>
        <v>176.12667681565898</v>
      </c>
      <c r="E271" s="50">
        <f>E54*Inputs_Summary!G$57/1000</f>
        <v>175.05412982718181</v>
      </c>
      <c r="F271" s="50">
        <f>F54*Inputs_Summary!H$57/1000</f>
        <v>19.251615888677058</v>
      </c>
      <c r="G271" s="50">
        <f>G54*Inputs_Summary!I$57/1000</f>
        <v>0</v>
      </c>
      <c r="H271" s="50">
        <f>H54*Inputs_Summary!J$57/1000</f>
        <v>262.27590046689909</v>
      </c>
      <c r="I271" s="50">
        <f>I54*Inputs_Summary!K$57/1000</f>
        <v>76.027312511856891</v>
      </c>
      <c r="J271" s="50">
        <f>J54*Inputs_Summary!L$57/1000</f>
        <v>397.83057509671795</v>
      </c>
      <c r="K271" s="50">
        <f>K54*Inputs_Summary!M$57/1000</f>
        <v>0</v>
      </c>
      <c r="L271" s="50">
        <f>L54*Inputs_Summary!N$57/1000</f>
        <v>0</v>
      </c>
      <c r="M271" s="50">
        <f>M54*Inputs_Summary!O$57/1000</f>
        <v>0</v>
      </c>
      <c r="N271" s="50">
        <f>N54*Inputs_Summary!P$57/1000</f>
        <v>0</v>
      </c>
      <c r="O271" s="50">
        <f>O54*Inputs_Summary!Q$57/1000</f>
        <v>0</v>
      </c>
      <c r="P271" s="53"/>
      <c r="Q271" s="5">
        <f>G271+N271</f>
        <v>0</v>
      </c>
      <c r="R271" s="5">
        <f>SUM(K271:L271)</f>
        <v>0</v>
      </c>
      <c r="T271" s="5">
        <f>SUM(C271:O271)</f>
        <v>27607.883705806504</v>
      </c>
      <c r="Y271" s="12"/>
    </row>
    <row r="272" spans="2:25" x14ac:dyDescent="0.3">
      <c r="C272" s="50">
        <f>C55*Inputs_Summary!E$57/1000</f>
        <v>28682.925208962868</v>
      </c>
      <c r="D272" s="50">
        <f>D55*Inputs_Summary!F$57/1000</f>
        <v>0</v>
      </c>
      <c r="E272" s="50">
        <f>E55*Inputs_Summary!G$57/1000</f>
        <v>198.00951131960483</v>
      </c>
      <c r="F272" s="50">
        <f>F55*Inputs_Summary!H$57/1000</f>
        <v>19.624489481057388</v>
      </c>
      <c r="G272" s="50">
        <f>G55*Inputs_Summary!I$57/1000</f>
        <v>0</v>
      </c>
      <c r="H272" s="50">
        <f>H55*Inputs_Summary!J$57/1000</f>
        <v>370.79335134401936</v>
      </c>
      <c r="I272" s="50">
        <f>I55*Inputs_Summary!K$57/1000</f>
        <v>0</v>
      </c>
      <c r="J272" s="50">
        <f>J55*Inputs_Summary!L$57/1000</f>
        <v>504.56430873278691</v>
      </c>
      <c r="K272" s="50">
        <f>K55*Inputs_Summary!M$57/1000</f>
        <v>0</v>
      </c>
      <c r="L272" s="50">
        <f>L55*Inputs_Summary!N$57/1000</f>
        <v>0</v>
      </c>
      <c r="M272" s="50">
        <f>M55*Inputs_Summary!O$57/1000</f>
        <v>0</v>
      </c>
      <c r="N272" s="50">
        <f>N55*Inputs_Summary!P$57/1000</f>
        <v>0</v>
      </c>
      <c r="O272" s="50">
        <f>O55*Inputs_Summary!Q$57/1000</f>
        <v>0</v>
      </c>
      <c r="P272" s="53"/>
      <c r="Q272" s="5">
        <f>G272+N272</f>
        <v>0</v>
      </c>
      <c r="R272" s="5">
        <f>SUM(K272:L272)</f>
        <v>0</v>
      </c>
      <c r="T272" s="5">
        <f>SUM(C272:O272)</f>
        <v>29775.916869840337</v>
      </c>
      <c r="Y272" s="60"/>
    </row>
    <row r="273" spans="2:37" x14ac:dyDescent="0.3">
      <c r="B273" s="41"/>
      <c r="Y273" s="12"/>
    </row>
    <row r="274" spans="2:37" ht="28.8" x14ac:dyDescent="0.3">
      <c r="B274" s="43" t="s">
        <v>123</v>
      </c>
      <c r="C274" s="43" t="s">
        <v>0</v>
      </c>
      <c r="D274" s="43" t="s">
        <v>1</v>
      </c>
      <c r="E274" s="43" t="s">
        <v>28</v>
      </c>
      <c r="F274" s="2" t="s">
        <v>29</v>
      </c>
      <c r="G274" s="2" t="s">
        <v>6</v>
      </c>
      <c r="H274" s="43" t="s">
        <v>2</v>
      </c>
      <c r="I274" s="43" t="s">
        <v>3</v>
      </c>
      <c r="J274" s="43" t="s">
        <v>4</v>
      </c>
      <c r="K274" s="43" t="s">
        <v>9</v>
      </c>
      <c r="L274" s="43" t="s">
        <v>8</v>
      </c>
      <c r="M274" s="43" t="s">
        <v>25</v>
      </c>
      <c r="N274" s="43" t="s">
        <v>7</v>
      </c>
      <c r="O274" s="43" t="s">
        <v>89</v>
      </c>
      <c r="P274" s="25"/>
      <c r="Q274" s="43" t="s">
        <v>5</v>
      </c>
      <c r="R274" s="43" t="s">
        <v>91</v>
      </c>
      <c r="T274" s="43" t="s">
        <v>10</v>
      </c>
      <c r="Y274" s="12"/>
    </row>
    <row r="275" spans="2:37" x14ac:dyDescent="0.3">
      <c r="B275" s="38"/>
      <c r="C275" s="50">
        <f>C251+C257+C263+C269</f>
        <v>76549.142844070113</v>
      </c>
      <c r="D275" s="50">
        <f t="shared" ref="D275:O275" si="128">D251+D257+D263+D269</f>
        <v>1371.1807324929616</v>
      </c>
      <c r="E275" s="50">
        <f t="shared" si="128"/>
        <v>28.730916727553129</v>
      </c>
      <c r="F275" s="50">
        <f t="shared" si="128"/>
        <v>76.923919508130496</v>
      </c>
      <c r="G275" s="50">
        <f t="shared" si="128"/>
        <v>0</v>
      </c>
      <c r="H275" s="50">
        <f t="shared" si="128"/>
        <v>557.56664340319617</v>
      </c>
      <c r="I275" s="50">
        <f t="shared" si="128"/>
        <v>132.15198644394073</v>
      </c>
      <c r="J275" s="50">
        <f t="shared" si="128"/>
        <v>337.80303802891547</v>
      </c>
      <c r="K275" s="50">
        <f t="shared" si="128"/>
        <v>0</v>
      </c>
      <c r="L275" s="50">
        <f t="shared" si="128"/>
        <v>0</v>
      </c>
      <c r="M275" s="50">
        <f t="shared" si="128"/>
        <v>0</v>
      </c>
      <c r="N275" s="50">
        <f t="shared" si="128"/>
        <v>0</v>
      </c>
      <c r="O275" s="50">
        <f t="shared" si="128"/>
        <v>0</v>
      </c>
      <c r="P275" s="53"/>
      <c r="Q275" s="5">
        <f>G275+N275</f>
        <v>0</v>
      </c>
      <c r="R275" s="5">
        <f>SUM(K275:L275)</f>
        <v>0</v>
      </c>
      <c r="T275" s="5">
        <f>SUM(C275:O275)</f>
        <v>79053.500080674828</v>
      </c>
      <c r="Y275" s="12"/>
    </row>
    <row r="276" spans="2:37" x14ac:dyDescent="0.3">
      <c r="C276" s="50">
        <f t="shared" ref="C276:O278" si="129">C252+C258+C264+C270</f>
        <v>99276.586684843292</v>
      </c>
      <c r="D276" s="50">
        <f t="shared" si="129"/>
        <v>1358.7427138855312</v>
      </c>
      <c r="E276" s="50">
        <f t="shared" si="129"/>
        <v>2652.9180319732809</v>
      </c>
      <c r="F276" s="50">
        <f t="shared" si="129"/>
        <v>2373.2993159450612</v>
      </c>
      <c r="G276" s="50">
        <f t="shared" si="129"/>
        <v>0</v>
      </c>
      <c r="H276" s="50">
        <f t="shared" si="129"/>
        <v>11926.027715046701</v>
      </c>
      <c r="I276" s="50">
        <f t="shared" si="129"/>
        <v>2857.6793843743671</v>
      </c>
      <c r="J276" s="50">
        <f t="shared" si="129"/>
        <v>6862.2671112566995</v>
      </c>
      <c r="K276" s="50">
        <f t="shared" si="129"/>
        <v>0</v>
      </c>
      <c r="L276" s="50">
        <f t="shared" si="129"/>
        <v>0</v>
      </c>
      <c r="M276" s="50">
        <f t="shared" si="129"/>
        <v>0</v>
      </c>
      <c r="N276" s="50">
        <f t="shared" si="129"/>
        <v>0</v>
      </c>
      <c r="O276" s="50">
        <f t="shared" si="129"/>
        <v>0</v>
      </c>
      <c r="P276" s="53"/>
      <c r="Q276" s="5">
        <f>G276+N276</f>
        <v>0</v>
      </c>
      <c r="R276" s="5">
        <f>SUM(K276:L276)</f>
        <v>0</v>
      </c>
      <c r="T276" s="5">
        <f>SUM(C276:O276)</f>
        <v>127307.52095732493</v>
      </c>
      <c r="Y276" s="12"/>
    </row>
    <row r="277" spans="2:37" x14ac:dyDescent="0.3">
      <c r="C277" s="50">
        <f t="shared" si="129"/>
        <v>127403.04148751873</v>
      </c>
      <c r="D277" s="50">
        <f t="shared" si="129"/>
        <v>1364.9817453213573</v>
      </c>
      <c r="E277" s="50">
        <f t="shared" si="129"/>
        <v>5922.3081555721519</v>
      </c>
      <c r="F277" s="50">
        <f t="shared" si="129"/>
        <v>6342.8229006282882</v>
      </c>
      <c r="G277" s="50">
        <f t="shared" si="129"/>
        <v>0</v>
      </c>
      <c r="H277" s="50">
        <f t="shared" si="129"/>
        <v>31134.552914473872</v>
      </c>
      <c r="I277" s="50">
        <f t="shared" si="129"/>
        <v>3709.9306876146165</v>
      </c>
      <c r="J277" s="50">
        <f t="shared" si="129"/>
        <v>19104.265422909994</v>
      </c>
      <c r="K277" s="50">
        <f t="shared" si="129"/>
        <v>0</v>
      </c>
      <c r="L277" s="50">
        <f t="shared" si="129"/>
        <v>0</v>
      </c>
      <c r="M277" s="50">
        <f t="shared" si="129"/>
        <v>0</v>
      </c>
      <c r="N277" s="50">
        <f t="shared" si="129"/>
        <v>0</v>
      </c>
      <c r="O277" s="50">
        <f t="shared" si="129"/>
        <v>0</v>
      </c>
      <c r="P277" s="53"/>
      <c r="Q277" s="5">
        <f>G277+N277</f>
        <v>0</v>
      </c>
      <c r="R277" s="5">
        <f>SUM(K277:L277)</f>
        <v>0</v>
      </c>
      <c r="T277" s="5">
        <f>SUM(C277:O277)</f>
        <v>194981.90331403902</v>
      </c>
      <c r="Y277" s="12"/>
    </row>
    <row r="278" spans="2:37" x14ac:dyDescent="0.3">
      <c r="C278" s="50">
        <f t="shared" si="129"/>
        <v>159112.22154330343</v>
      </c>
      <c r="D278" s="50">
        <f t="shared" si="129"/>
        <v>0</v>
      </c>
      <c r="E278" s="50">
        <f t="shared" si="129"/>
        <v>7271.1002383574969</v>
      </c>
      <c r="F278" s="50">
        <f t="shared" si="129"/>
        <v>8225.9204333800299</v>
      </c>
      <c r="G278" s="50">
        <f t="shared" si="129"/>
        <v>0</v>
      </c>
      <c r="H278" s="50">
        <f t="shared" si="129"/>
        <v>44326.593891664605</v>
      </c>
      <c r="I278" s="50">
        <f t="shared" si="129"/>
        <v>0</v>
      </c>
      <c r="J278" s="50">
        <f t="shared" si="129"/>
        <v>25139.212862099823</v>
      </c>
      <c r="K278" s="50">
        <f t="shared" si="129"/>
        <v>0</v>
      </c>
      <c r="L278" s="50">
        <f t="shared" si="129"/>
        <v>0</v>
      </c>
      <c r="M278" s="50">
        <f t="shared" si="129"/>
        <v>0</v>
      </c>
      <c r="N278" s="50">
        <f t="shared" si="129"/>
        <v>0</v>
      </c>
      <c r="O278" s="50">
        <f t="shared" si="129"/>
        <v>0</v>
      </c>
      <c r="P278" s="53"/>
      <c r="Q278" s="5">
        <f>G278+N278</f>
        <v>0</v>
      </c>
      <c r="R278" s="5">
        <f>SUM(K278:L278)</f>
        <v>0</v>
      </c>
      <c r="T278" s="5">
        <f>SUM(C278:O278)</f>
        <v>244075.04896880538</v>
      </c>
      <c r="Y278" s="60"/>
    </row>
    <row r="279" spans="2:37" s="58" customFormat="1" ht="21" x14ac:dyDescent="0.4">
      <c r="B279" s="59"/>
      <c r="P279" s="11"/>
    </row>
    <row r="280" spans="2:37" s="11" customFormat="1" x14ac:dyDescent="0.3">
      <c r="B280" s="25"/>
      <c r="C280" s="25"/>
      <c r="D280" s="25"/>
      <c r="E280" s="25"/>
      <c r="F280" s="60"/>
      <c r="G280" s="60"/>
      <c r="H280" s="25"/>
      <c r="I280" s="25"/>
      <c r="J280" s="25"/>
      <c r="K280" s="25"/>
      <c r="L280" s="25"/>
      <c r="M280" s="25"/>
      <c r="N280" s="25"/>
      <c r="O280" s="25"/>
      <c r="Q280" s="25"/>
      <c r="R280" s="25"/>
      <c r="S280" s="25"/>
      <c r="T280" s="25"/>
      <c r="U280" s="25"/>
      <c r="V280" s="25"/>
      <c r="X280" s="25"/>
    </row>
    <row r="281" spans="2:37" s="11" customFormat="1" x14ac:dyDescent="0.3"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Q281" s="62"/>
      <c r="R281" s="62"/>
      <c r="S281" s="62"/>
      <c r="T281" s="57"/>
      <c r="U281" s="57"/>
      <c r="V281" s="57"/>
      <c r="W281" s="57"/>
      <c r="X281" s="57"/>
      <c r="Z281" s="77"/>
      <c r="AA281" s="77"/>
      <c r="AB281" s="77"/>
      <c r="AC281" s="12"/>
      <c r="AD281" s="12"/>
      <c r="AF281" s="12"/>
      <c r="AI281" s="12"/>
      <c r="AJ281" s="12"/>
    </row>
    <row r="282" spans="2:37" s="11" customFormat="1" x14ac:dyDescent="0.3"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Q282" s="62"/>
      <c r="R282" s="62"/>
      <c r="S282" s="62"/>
      <c r="T282" s="57"/>
      <c r="U282" s="57"/>
      <c r="V282" s="57"/>
      <c r="W282" s="57"/>
      <c r="X282" s="57"/>
      <c r="Z282" s="78"/>
      <c r="AA282" s="78"/>
      <c r="AB282" s="78"/>
      <c r="AC282" s="12"/>
      <c r="AD282" s="12"/>
      <c r="AF282" s="12"/>
    </row>
    <row r="283" spans="2:37" s="11" customFormat="1" x14ac:dyDescent="0.3"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Q283" s="62"/>
      <c r="R283" s="62"/>
      <c r="S283" s="62"/>
      <c r="T283" s="57"/>
      <c r="U283" s="57"/>
      <c r="V283" s="57"/>
      <c r="W283" s="57"/>
      <c r="X283" s="57"/>
      <c r="Z283" s="78"/>
      <c r="AA283" s="78"/>
      <c r="AB283" s="78"/>
      <c r="AD283" s="12"/>
      <c r="AG283" s="12"/>
      <c r="AH283" s="12"/>
      <c r="AJ283" s="12"/>
      <c r="AK283" s="12"/>
    </row>
    <row r="284" spans="2:37" s="11" customFormat="1" x14ac:dyDescent="0.3"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Q284" s="62"/>
      <c r="R284" s="62"/>
      <c r="S284" s="62"/>
      <c r="T284" s="57"/>
      <c r="U284" s="57"/>
      <c r="V284" s="57"/>
      <c r="W284" s="57"/>
      <c r="X284" s="57"/>
      <c r="Z284" s="78"/>
      <c r="AA284" s="78"/>
      <c r="AB284" s="78"/>
      <c r="AD284" s="12"/>
      <c r="AG284" s="12"/>
      <c r="AI284" s="12"/>
      <c r="AJ284" s="12"/>
    </row>
    <row r="285" spans="2:37" s="11" customFormat="1" x14ac:dyDescent="0.3">
      <c r="T285" s="57"/>
      <c r="U285" s="57"/>
      <c r="V285" s="57"/>
      <c r="W285" s="57"/>
      <c r="X285" s="57"/>
      <c r="AC285" s="12"/>
      <c r="AD285" s="12"/>
      <c r="AF285" s="12"/>
      <c r="AH285" s="12"/>
      <c r="AI285" s="12"/>
      <c r="AJ285" s="12"/>
    </row>
    <row r="286" spans="2:37" s="11" customFormat="1" x14ac:dyDescent="0.3">
      <c r="B286" s="25"/>
      <c r="C286" s="25"/>
      <c r="D286" s="25"/>
      <c r="E286" s="25"/>
      <c r="F286" s="60"/>
      <c r="G286" s="60"/>
      <c r="H286" s="25"/>
      <c r="I286" s="25"/>
      <c r="J286" s="25"/>
      <c r="K286" s="25"/>
      <c r="L286" s="25"/>
      <c r="M286" s="25"/>
      <c r="N286" s="25"/>
      <c r="O286" s="25"/>
      <c r="Q286" s="25"/>
      <c r="R286" s="25"/>
      <c r="S286" s="25"/>
      <c r="T286" s="25"/>
      <c r="U286" s="25"/>
      <c r="V286" s="25"/>
      <c r="X286" s="25"/>
      <c r="Z286" s="77"/>
      <c r="AA286" s="77"/>
      <c r="AB286" s="77"/>
      <c r="AC286" s="12"/>
      <c r="AD286" s="12"/>
      <c r="AG286" s="12"/>
      <c r="AJ286" s="12"/>
    </row>
    <row r="287" spans="2:37" s="11" customFormat="1" x14ac:dyDescent="0.3"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Q287" s="62"/>
      <c r="R287" s="62"/>
      <c r="S287" s="62"/>
      <c r="T287" s="57"/>
      <c r="U287" s="57"/>
      <c r="V287" s="57"/>
      <c r="W287" s="57"/>
      <c r="X287" s="57"/>
      <c r="Z287" s="78"/>
      <c r="AA287" s="78"/>
      <c r="AB287" s="78"/>
      <c r="AC287" s="12"/>
      <c r="AD287" s="12"/>
      <c r="AF287" s="12"/>
      <c r="AG287" s="12"/>
      <c r="AI287" s="12"/>
    </row>
    <row r="288" spans="2:37" s="11" customFormat="1" x14ac:dyDescent="0.3"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Q288" s="62"/>
      <c r="R288" s="62"/>
      <c r="S288" s="62"/>
      <c r="T288" s="57"/>
      <c r="U288" s="57"/>
      <c r="V288" s="57"/>
      <c r="W288" s="57"/>
      <c r="X288" s="57"/>
      <c r="Z288" s="78"/>
      <c r="AA288" s="78"/>
      <c r="AB288" s="78"/>
      <c r="AC288" s="12"/>
      <c r="AD288" s="12"/>
      <c r="AF288" s="12"/>
      <c r="AG288" s="12"/>
      <c r="AJ288" s="12"/>
    </row>
    <row r="289" spans="1:37" s="11" customFormat="1" x14ac:dyDescent="0.3"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Q289" s="62"/>
      <c r="R289" s="62"/>
      <c r="S289" s="62"/>
      <c r="T289" s="57"/>
      <c r="U289" s="57"/>
      <c r="V289" s="57"/>
      <c r="W289" s="57"/>
      <c r="X289" s="57"/>
      <c r="AG289" s="12"/>
      <c r="AJ289" s="12"/>
    </row>
    <row r="290" spans="1:37" s="11" customFormat="1" x14ac:dyDescent="0.3"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Q290" s="62"/>
      <c r="R290" s="62"/>
      <c r="S290" s="62"/>
      <c r="T290" s="57"/>
      <c r="U290" s="57"/>
      <c r="V290" s="57"/>
      <c r="W290" s="57"/>
      <c r="X290" s="57"/>
      <c r="AF290" s="12"/>
      <c r="AG290" s="12"/>
    </row>
    <row r="291" spans="1:37" s="11" customFormat="1" x14ac:dyDescent="0.3">
      <c r="AF291" s="12"/>
      <c r="AG291" s="12"/>
      <c r="AH291" s="12"/>
      <c r="AK291" s="12"/>
    </row>
    <row r="292" spans="1:37" s="11" customFormat="1" x14ac:dyDescent="0.3">
      <c r="B292" s="25"/>
      <c r="C292" s="25"/>
      <c r="D292" s="25"/>
      <c r="E292" s="25"/>
      <c r="F292" s="60"/>
      <c r="G292" s="60"/>
      <c r="H292" s="25"/>
      <c r="I292" s="25"/>
      <c r="J292" s="25"/>
      <c r="K292" s="25"/>
      <c r="L292" s="25"/>
      <c r="M292" s="25"/>
      <c r="N292" s="25"/>
      <c r="O292" s="25"/>
      <c r="Q292" s="25"/>
      <c r="R292" s="25"/>
      <c r="S292" s="25"/>
      <c r="T292" s="25"/>
      <c r="U292" s="25"/>
      <c r="V292" s="25"/>
      <c r="X292" s="25"/>
      <c r="Y292" s="25"/>
      <c r="Z292" s="25"/>
      <c r="AA292" s="25"/>
      <c r="AG292" s="12"/>
    </row>
    <row r="293" spans="1:37" s="11" customFormat="1" x14ac:dyDescent="0.3">
      <c r="A293" s="20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Q293" s="62"/>
      <c r="R293" s="62"/>
      <c r="S293" s="62"/>
      <c r="T293" s="57"/>
      <c r="U293" s="57"/>
      <c r="V293" s="57"/>
      <c r="W293" s="57"/>
      <c r="X293" s="57"/>
      <c r="Y293" s="24"/>
      <c r="Z293" s="24"/>
      <c r="AA293" s="26"/>
      <c r="AD293" s="12"/>
      <c r="AF293" s="12"/>
      <c r="AG293" s="12"/>
      <c r="AH293" s="12"/>
      <c r="AJ293" s="12"/>
      <c r="AK293" s="12"/>
    </row>
    <row r="294" spans="1:37" s="11" customFormat="1" x14ac:dyDescent="0.3">
      <c r="A294" s="20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Q294" s="62"/>
      <c r="R294" s="62"/>
      <c r="S294" s="62"/>
      <c r="T294" s="57"/>
      <c r="U294" s="57"/>
      <c r="V294" s="57"/>
      <c r="W294" s="57"/>
      <c r="X294" s="57"/>
      <c r="Y294" s="24"/>
      <c r="Z294" s="24"/>
      <c r="AA294" s="26"/>
      <c r="AC294" s="12"/>
      <c r="AD294" s="12"/>
      <c r="AF294" s="12"/>
      <c r="AG294" s="12"/>
      <c r="AI294" s="12"/>
      <c r="AJ294" s="12"/>
    </row>
    <row r="295" spans="1:37" s="11" customFormat="1" x14ac:dyDescent="0.3">
      <c r="A295" s="20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Q295" s="62"/>
      <c r="R295" s="62"/>
      <c r="S295" s="62"/>
      <c r="T295" s="57"/>
      <c r="U295" s="57"/>
      <c r="V295" s="57"/>
      <c r="W295" s="57"/>
      <c r="X295" s="57"/>
      <c r="Y295" s="24"/>
      <c r="Z295" s="24"/>
      <c r="AA295" s="26"/>
      <c r="AC295" s="12"/>
      <c r="AD295" s="12"/>
      <c r="AF295" s="12"/>
      <c r="AG295" s="12"/>
      <c r="AI295" s="12"/>
      <c r="AJ295" s="12"/>
    </row>
    <row r="296" spans="1:37" s="11" customFormat="1" x14ac:dyDescent="0.3">
      <c r="A296" s="20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Q296" s="62"/>
      <c r="R296" s="62"/>
      <c r="S296" s="62"/>
      <c r="T296" s="57"/>
      <c r="U296" s="57"/>
      <c r="V296" s="57"/>
      <c r="W296" s="57"/>
      <c r="X296" s="57"/>
      <c r="Y296" s="24"/>
      <c r="Z296" s="24"/>
      <c r="AA296" s="26"/>
      <c r="AC296" s="12"/>
      <c r="AF296" s="12"/>
      <c r="AI296" s="12"/>
    </row>
    <row r="297" spans="1:37" s="11" customFormat="1" x14ac:dyDescent="0.3">
      <c r="AC297" s="12"/>
      <c r="AD297" s="12"/>
      <c r="AF297" s="12"/>
      <c r="AG297" s="12"/>
      <c r="AI297" s="12"/>
      <c r="AJ297" s="12"/>
    </row>
    <row r="298" spans="1:37" s="11" customFormat="1" x14ac:dyDescent="0.3"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Q298" s="26"/>
      <c r="R298" s="26"/>
      <c r="S298" s="26"/>
      <c r="T298" s="28"/>
      <c r="U298" s="28"/>
      <c r="V298" s="28"/>
      <c r="X298" s="27"/>
    </row>
    <row r="299" spans="1:37" s="11" customFormat="1" x14ac:dyDescent="0.3"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Q299" s="26"/>
      <c r="R299" s="26"/>
      <c r="S299" s="26"/>
      <c r="T299" s="28"/>
      <c r="U299" s="28"/>
      <c r="V299" s="28"/>
      <c r="X299" s="27"/>
    </row>
    <row r="300" spans="1:37" s="11" customFormat="1" x14ac:dyDescent="0.3"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Q300" s="26"/>
      <c r="R300" s="26"/>
      <c r="S300" s="26"/>
      <c r="T300" s="28"/>
      <c r="U300" s="28"/>
      <c r="V300" s="28"/>
      <c r="X300" s="27"/>
      <c r="AE300" s="12"/>
    </row>
    <row r="301" spans="1:37" s="11" customFormat="1" x14ac:dyDescent="0.3"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Q301" s="26"/>
      <c r="R301" s="26"/>
      <c r="S301" s="26"/>
      <c r="T301" s="28"/>
      <c r="U301" s="28"/>
      <c r="V301" s="28"/>
      <c r="X301" s="27"/>
    </row>
    <row r="302" spans="1:37" s="11" customFormat="1" x14ac:dyDescent="0.3"/>
    <row r="303" spans="1:37" s="58" customFormat="1" ht="21" x14ac:dyDescent="0.4">
      <c r="B303" s="59"/>
      <c r="P303" s="11"/>
    </row>
    <row r="304" spans="1:37" s="58" customFormat="1" ht="21" x14ac:dyDescent="0.4">
      <c r="B304" s="59"/>
      <c r="P304" s="11"/>
    </row>
    <row r="305" spans="2:24" s="11" customFormat="1" x14ac:dyDescent="0.3">
      <c r="B305" s="3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Q305" s="64"/>
      <c r="R305" s="64"/>
      <c r="S305" s="64"/>
    </row>
    <row r="306" spans="2:24" s="11" customFormat="1" x14ac:dyDescent="0.3">
      <c r="B306" s="25"/>
      <c r="C306" s="25"/>
      <c r="D306" s="25"/>
      <c r="E306" s="25"/>
      <c r="F306" s="60"/>
      <c r="G306" s="60"/>
      <c r="H306" s="25"/>
      <c r="I306" s="25"/>
      <c r="J306" s="25"/>
      <c r="K306" s="25"/>
      <c r="L306" s="25"/>
      <c r="M306" s="25"/>
      <c r="N306" s="25"/>
      <c r="O306" s="25"/>
      <c r="Q306" s="25"/>
      <c r="R306" s="25"/>
      <c r="S306" s="25"/>
      <c r="T306" s="25"/>
      <c r="U306" s="25"/>
      <c r="V306" s="25"/>
      <c r="X306" s="25"/>
    </row>
    <row r="307" spans="2:24" s="11" customFormat="1" x14ac:dyDescent="0.3"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Q307" s="26"/>
      <c r="R307" s="26"/>
      <c r="S307" s="26"/>
      <c r="T307" s="63"/>
      <c r="U307" s="63"/>
      <c r="V307" s="63"/>
      <c r="W307" s="57"/>
      <c r="X307" s="57"/>
    </row>
    <row r="308" spans="2:24" s="11" customFormat="1" x14ac:dyDescent="0.3"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Q308" s="26"/>
      <c r="R308" s="26"/>
      <c r="S308" s="26"/>
      <c r="T308" s="63"/>
      <c r="U308" s="63"/>
      <c r="V308" s="63"/>
      <c r="W308" s="57"/>
      <c r="X308" s="57"/>
    </row>
    <row r="309" spans="2:24" s="11" customFormat="1" x14ac:dyDescent="0.3"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Q309" s="26"/>
      <c r="R309" s="26"/>
      <c r="S309" s="26"/>
      <c r="T309" s="63"/>
      <c r="U309" s="63"/>
      <c r="V309" s="63"/>
      <c r="W309" s="57"/>
      <c r="X309" s="57"/>
    </row>
    <row r="310" spans="2:24" s="11" customFormat="1" x14ac:dyDescent="0.3"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Q310" s="26"/>
      <c r="R310" s="26"/>
      <c r="S310" s="26"/>
      <c r="T310" s="63"/>
      <c r="U310" s="63"/>
      <c r="V310" s="63"/>
      <c r="W310" s="57"/>
      <c r="X310" s="57"/>
    </row>
    <row r="311" spans="2:24" s="11" customFormat="1" x14ac:dyDescent="0.3"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Q311" s="28"/>
      <c r="R311" s="28"/>
      <c r="S311" s="28"/>
      <c r="T311" s="57"/>
      <c r="U311" s="57"/>
      <c r="V311" s="57"/>
      <c r="W311" s="57"/>
      <c r="X311" s="57"/>
    </row>
    <row r="312" spans="2:24" s="11" customFormat="1" x14ac:dyDescent="0.3">
      <c r="B312" s="25"/>
      <c r="C312" s="65"/>
      <c r="D312" s="2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Q312" s="25"/>
      <c r="R312" s="65"/>
      <c r="S312" s="65"/>
      <c r="T312" s="25"/>
      <c r="U312" s="25"/>
      <c r="V312" s="25"/>
      <c r="X312" s="25"/>
    </row>
    <row r="313" spans="2:24" s="11" customFormat="1" x14ac:dyDescent="0.3"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Q313" s="26"/>
      <c r="R313" s="26"/>
      <c r="S313" s="26"/>
      <c r="T313" s="63"/>
      <c r="U313" s="63"/>
      <c r="V313" s="63"/>
      <c r="W313" s="57"/>
      <c r="X313" s="57"/>
    </row>
    <row r="314" spans="2:24" s="11" customFormat="1" x14ac:dyDescent="0.3"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Q314" s="26"/>
      <c r="R314" s="26"/>
      <c r="S314" s="26"/>
      <c r="T314" s="63"/>
      <c r="U314" s="63"/>
      <c r="V314" s="63"/>
      <c r="W314" s="57"/>
      <c r="X314" s="57"/>
    </row>
    <row r="315" spans="2:24" s="11" customFormat="1" x14ac:dyDescent="0.3"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Q315" s="26"/>
      <c r="R315" s="26"/>
      <c r="S315" s="26"/>
      <c r="T315" s="63"/>
      <c r="U315" s="63"/>
      <c r="V315" s="63"/>
      <c r="W315" s="57"/>
      <c r="X315" s="57"/>
    </row>
    <row r="316" spans="2:24" s="11" customFormat="1" x14ac:dyDescent="0.3"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Q316" s="26"/>
      <c r="R316" s="26"/>
      <c r="S316" s="26"/>
      <c r="T316" s="63"/>
      <c r="U316" s="63"/>
      <c r="V316" s="63"/>
      <c r="W316" s="57"/>
      <c r="X316" s="57"/>
    </row>
    <row r="317" spans="2:24" s="11" customFormat="1" x14ac:dyDescent="0.3"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Q317" s="28"/>
      <c r="R317" s="28"/>
      <c r="S317" s="28"/>
    </row>
    <row r="318" spans="2:24" s="11" customFormat="1" x14ac:dyDescent="0.3">
      <c r="B318" s="25"/>
      <c r="C318" s="65"/>
      <c r="D318" s="2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Q318" s="25"/>
      <c r="R318" s="65"/>
      <c r="S318" s="65"/>
      <c r="T318" s="25"/>
      <c r="U318" s="25"/>
      <c r="V318" s="25"/>
      <c r="X318" s="25"/>
    </row>
    <row r="319" spans="2:24" s="11" customFormat="1" x14ac:dyDescent="0.3"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Q319" s="26"/>
      <c r="R319" s="26"/>
      <c r="S319" s="26"/>
      <c r="T319" s="63"/>
      <c r="U319" s="63"/>
      <c r="V319" s="63"/>
      <c r="W319" s="57"/>
      <c r="X319" s="57"/>
    </row>
    <row r="320" spans="2:24" s="11" customFormat="1" x14ac:dyDescent="0.3"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Q320" s="26"/>
      <c r="R320" s="26"/>
      <c r="S320" s="26"/>
      <c r="T320" s="63"/>
      <c r="U320" s="63"/>
      <c r="V320" s="63"/>
      <c r="W320" s="57"/>
      <c r="X320" s="57"/>
    </row>
    <row r="321" spans="2:24" s="11" customFormat="1" x14ac:dyDescent="0.3"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Q321" s="26"/>
      <c r="R321" s="26"/>
      <c r="S321" s="26"/>
      <c r="T321" s="63"/>
      <c r="U321" s="63"/>
      <c r="V321" s="63"/>
      <c r="W321" s="57"/>
      <c r="X321" s="57"/>
    </row>
    <row r="322" spans="2:24" s="11" customFormat="1" x14ac:dyDescent="0.3"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Q322" s="26"/>
      <c r="R322" s="26"/>
      <c r="S322" s="26"/>
      <c r="T322" s="63"/>
      <c r="U322" s="63"/>
      <c r="V322" s="63"/>
      <c r="W322" s="57"/>
      <c r="X322" s="57"/>
    </row>
    <row r="323" spans="2:24" s="11" customFormat="1" x14ac:dyDescent="0.3"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Q323" s="28"/>
      <c r="R323" s="28"/>
      <c r="S323" s="28"/>
    </row>
    <row r="324" spans="2:24" s="11" customFormat="1" x14ac:dyDescent="0.3">
      <c r="C324" s="12"/>
      <c r="D324" s="12"/>
      <c r="E324" s="14"/>
      <c r="F324" s="14"/>
      <c r="G324" s="14"/>
      <c r="H324" s="16"/>
      <c r="I324" s="14"/>
      <c r="J324" s="14"/>
      <c r="K324" s="16"/>
      <c r="L324" s="14"/>
      <c r="M324" s="16"/>
      <c r="N324" s="20"/>
      <c r="O324" s="20"/>
    </row>
    <row r="325" spans="2:24" s="58" customFormat="1" ht="21" x14ac:dyDescent="0.4">
      <c r="B325" s="59"/>
      <c r="P325" s="11"/>
    </row>
    <row r="326" spans="2:24" s="58" customFormat="1" ht="21" x14ac:dyDescent="0.4">
      <c r="B326" s="59"/>
      <c r="P326" s="11"/>
    </row>
    <row r="327" spans="2:24" s="58" customFormat="1" x14ac:dyDescent="0.3">
      <c r="B327" s="67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11"/>
      <c r="Q327" s="62"/>
      <c r="R327" s="62"/>
      <c r="S327" s="61"/>
    </row>
    <row r="328" spans="2:24" s="11" customFormat="1" x14ac:dyDescent="0.3">
      <c r="B328" s="25"/>
      <c r="C328" s="25"/>
      <c r="D328" s="25"/>
      <c r="E328" s="25"/>
      <c r="F328" s="60"/>
      <c r="G328" s="60"/>
      <c r="H328" s="25"/>
      <c r="I328" s="25"/>
      <c r="J328" s="25"/>
      <c r="K328" s="25"/>
      <c r="L328" s="25"/>
      <c r="M328" s="25"/>
      <c r="N328" s="25"/>
      <c r="O328" s="25"/>
      <c r="Q328" s="25"/>
      <c r="R328" s="25"/>
      <c r="S328" s="25"/>
      <c r="T328" s="25"/>
      <c r="U328" s="25"/>
      <c r="V328" s="25"/>
      <c r="X328" s="25"/>
    </row>
    <row r="329" spans="2:24" s="11" customFormat="1" x14ac:dyDescent="0.3"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Q329" s="62"/>
      <c r="R329" s="62"/>
      <c r="S329" s="62"/>
      <c r="T329" s="57"/>
      <c r="U329" s="57"/>
      <c r="V329" s="57"/>
      <c r="W329" s="57"/>
      <c r="X329" s="57"/>
    </row>
    <row r="330" spans="2:24" s="11" customFormat="1" x14ac:dyDescent="0.3"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Q330" s="62"/>
      <c r="R330" s="62"/>
      <c r="S330" s="62"/>
      <c r="T330" s="57"/>
      <c r="U330" s="57"/>
      <c r="V330" s="57"/>
      <c r="W330" s="57"/>
      <c r="X330" s="57"/>
    </row>
    <row r="331" spans="2:24" s="11" customFormat="1" x14ac:dyDescent="0.3"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Q331" s="62"/>
      <c r="R331" s="62"/>
      <c r="S331" s="62"/>
      <c r="T331" s="57"/>
      <c r="U331" s="57"/>
      <c r="V331" s="57"/>
      <c r="W331" s="57"/>
      <c r="X331" s="57"/>
    </row>
    <row r="332" spans="2:24" s="11" customFormat="1" x14ac:dyDescent="0.3"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Q332" s="62"/>
      <c r="R332" s="62"/>
      <c r="S332" s="62"/>
      <c r="T332" s="57"/>
      <c r="U332" s="57"/>
      <c r="V332" s="57"/>
      <c r="W332" s="57"/>
      <c r="X332" s="57"/>
    </row>
    <row r="333" spans="2:24" s="11" customFormat="1" x14ac:dyDescent="0.3">
      <c r="T333" s="57"/>
      <c r="U333" s="57"/>
      <c r="V333" s="57"/>
      <c r="W333" s="57"/>
      <c r="X333" s="57"/>
    </row>
    <row r="334" spans="2:24" s="11" customFormat="1" x14ac:dyDescent="0.3">
      <c r="B334" s="25"/>
      <c r="C334" s="25"/>
      <c r="D334" s="25"/>
      <c r="E334" s="25"/>
      <c r="F334" s="60"/>
      <c r="G334" s="60"/>
      <c r="H334" s="25"/>
      <c r="I334" s="25"/>
      <c r="J334" s="25"/>
      <c r="K334" s="25"/>
      <c r="L334" s="25"/>
      <c r="M334" s="25"/>
      <c r="N334" s="25"/>
      <c r="O334" s="25"/>
      <c r="Q334" s="25"/>
      <c r="R334" s="25"/>
      <c r="S334" s="25"/>
      <c r="T334" s="25"/>
      <c r="U334" s="25"/>
      <c r="V334" s="25"/>
      <c r="X334" s="25"/>
    </row>
    <row r="335" spans="2:24" s="11" customFormat="1" x14ac:dyDescent="0.3"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Q335" s="62"/>
      <c r="R335" s="62"/>
      <c r="S335" s="62"/>
      <c r="T335" s="57"/>
      <c r="U335" s="57"/>
      <c r="V335" s="57"/>
      <c r="W335" s="57"/>
      <c r="X335" s="57"/>
    </row>
    <row r="336" spans="2:24" s="11" customFormat="1" x14ac:dyDescent="0.3"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Q336" s="62"/>
      <c r="R336" s="62"/>
      <c r="S336" s="62"/>
      <c r="T336" s="57"/>
      <c r="U336" s="57"/>
      <c r="V336" s="57"/>
      <c r="W336" s="57"/>
      <c r="X336" s="57"/>
    </row>
    <row r="337" spans="2:27" s="11" customFormat="1" x14ac:dyDescent="0.3"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Q337" s="62"/>
      <c r="R337" s="62"/>
      <c r="S337" s="62"/>
      <c r="T337" s="57"/>
      <c r="U337" s="57"/>
      <c r="V337" s="57"/>
      <c r="W337" s="57"/>
      <c r="X337" s="57"/>
    </row>
    <row r="338" spans="2:27" s="11" customFormat="1" x14ac:dyDescent="0.3"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Q338" s="62"/>
      <c r="R338" s="62"/>
      <c r="S338" s="62"/>
      <c r="T338" s="57"/>
      <c r="U338" s="57"/>
      <c r="V338" s="57"/>
      <c r="W338" s="57"/>
      <c r="X338" s="57"/>
    </row>
    <row r="339" spans="2:27" s="11" customFormat="1" x14ac:dyDescent="0.3"/>
    <row r="340" spans="2:27" s="11" customFormat="1" x14ac:dyDescent="0.3">
      <c r="B340" s="25"/>
      <c r="C340" s="25"/>
      <c r="D340" s="25"/>
      <c r="E340" s="25"/>
      <c r="F340" s="60"/>
      <c r="G340" s="60"/>
      <c r="H340" s="25"/>
      <c r="I340" s="25"/>
      <c r="J340" s="25"/>
      <c r="K340" s="25"/>
      <c r="L340" s="25"/>
      <c r="M340" s="25"/>
      <c r="N340" s="25"/>
      <c r="O340" s="25"/>
      <c r="Q340" s="25"/>
      <c r="R340" s="25"/>
      <c r="S340" s="25"/>
      <c r="T340" s="25"/>
      <c r="U340" s="25"/>
      <c r="V340" s="25"/>
      <c r="X340" s="25"/>
      <c r="Y340" s="25"/>
      <c r="Z340" s="25"/>
      <c r="AA340" s="25"/>
    </row>
    <row r="341" spans="2:27" s="11" customFormat="1" x14ac:dyDescent="0.3"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Q341" s="62"/>
      <c r="R341" s="62"/>
      <c r="S341" s="62"/>
      <c r="T341" s="57"/>
      <c r="U341" s="57"/>
      <c r="V341" s="57"/>
      <c r="W341" s="57"/>
      <c r="X341" s="57"/>
      <c r="Y341" s="35"/>
      <c r="Z341" s="24"/>
      <c r="AA341" s="26"/>
    </row>
    <row r="342" spans="2:27" s="11" customFormat="1" x14ac:dyDescent="0.3"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Q342" s="62"/>
      <c r="R342" s="62"/>
      <c r="S342" s="62"/>
      <c r="T342" s="57"/>
      <c r="U342" s="57"/>
      <c r="V342" s="57"/>
      <c r="W342" s="57"/>
      <c r="X342" s="57"/>
      <c r="Y342" s="35"/>
      <c r="Z342" s="24"/>
      <c r="AA342" s="26"/>
    </row>
    <row r="343" spans="2:27" s="11" customFormat="1" x14ac:dyDescent="0.3"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Q343" s="62"/>
      <c r="R343" s="62"/>
      <c r="S343" s="62"/>
      <c r="T343" s="57"/>
      <c r="U343" s="57"/>
      <c r="V343" s="57"/>
      <c r="W343" s="57"/>
      <c r="X343" s="57"/>
      <c r="Y343" s="35"/>
      <c r="Z343" s="24"/>
      <c r="AA343" s="26"/>
    </row>
    <row r="344" spans="2:27" s="11" customFormat="1" x14ac:dyDescent="0.3"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Q344" s="62"/>
      <c r="R344" s="62"/>
      <c r="S344" s="62"/>
      <c r="T344" s="57"/>
      <c r="U344" s="57"/>
      <c r="V344" s="57"/>
      <c r="W344" s="57"/>
      <c r="X344" s="57"/>
      <c r="Y344" s="35"/>
      <c r="Z344" s="24"/>
      <c r="AA344" s="26"/>
    </row>
    <row r="345" spans="2:27" s="11" customFormat="1" x14ac:dyDescent="0.3"/>
    <row r="346" spans="2:27" s="11" customFormat="1" x14ac:dyDescent="0.3"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Q346" s="29"/>
      <c r="R346" s="29"/>
      <c r="S346" s="29"/>
      <c r="T346" s="28"/>
      <c r="U346" s="28"/>
      <c r="V346" s="28"/>
      <c r="X346" s="27"/>
    </row>
    <row r="347" spans="2:27" s="11" customFormat="1" x14ac:dyDescent="0.3"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Q347" s="29"/>
      <c r="R347" s="29"/>
      <c r="S347" s="29"/>
      <c r="T347" s="28"/>
      <c r="U347" s="28"/>
      <c r="V347" s="28"/>
      <c r="X347" s="27"/>
    </row>
    <row r="348" spans="2:27" s="11" customFormat="1" x14ac:dyDescent="0.3"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Q348" s="29"/>
      <c r="R348" s="29"/>
      <c r="S348" s="29"/>
      <c r="T348" s="28"/>
      <c r="U348" s="28"/>
      <c r="V348" s="28"/>
      <c r="X348" s="27"/>
    </row>
    <row r="349" spans="2:27" s="11" customFormat="1" x14ac:dyDescent="0.3"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Q349" s="29"/>
      <c r="R349" s="29"/>
      <c r="S349" s="29"/>
      <c r="T349" s="28"/>
      <c r="U349" s="28"/>
      <c r="V349" s="28"/>
      <c r="X349" s="27"/>
    </row>
    <row r="350" spans="2:27" s="11" customFormat="1" x14ac:dyDescent="0.3"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Q350" s="29"/>
      <c r="R350" s="29"/>
      <c r="S350" s="29"/>
      <c r="T350" s="28"/>
      <c r="U350" s="28"/>
      <c r="V350" s="28"/>
      <c r="X350" s="27"/>
    </row>
    <row r="351" spans="2:27" s="58" customFormat="1" ht="21" x14ac:dyDescent="0.4">
      <c r="B351" s="59"/>
      <c r="P351" s="11"/>
    </row>
    <row r="352" spans="2:27" s="58" customFormat="1" ht="21" x14ac:dyDescent="0.4">
      <c r="B352" s="59"/>
      <c r="P352" s="11"/>
    </row>
    <row r="353" spans="2:25" s="58" customFormat="1" ht="15.75" customHeight="1" x14ac:dyDescent="0.3">
      <c r="B353" s="67"/>
      <c r="C353" s="62"/>
      <c r="D353" s="56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11"/>
      <c r="Q353" s="62"/>
      <c r="R353" s="62"/>
      <c r="S353" s="61"/>
    </row>
    <row r="354" spans="2:25" s="58" customFormat="1" x14ac:dyDescent="0.3">
      <c r="B354" s="67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11"/>
      <c r="Q354" s="62"/>
      <c r="R354" s="62"/>
      <c r="S354" s="61"/>
    </row>
    <row r="355" spans="2:25" s="58" customFormat="1" x14ac:dyDescent="0.3">
      <c r="B355" s="67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11"/>
      <c r="Q355" s="53"/>
      <c r="R355" s="53"/>
      <c r="S355" s="53"/>
    </row>
    <row r="356" spans="2:25" s="11" customFormat="1" x14ac:dyDescent="0.3">
      <c r="B356" s="25"/>
      <c r="C356" s="25"/>
      <c r="D356" s="25"/>
      <c r="E356" s="25"/>
      <c r="F356" s="60"/>
      <c r="G356" s="60"/>
      <c r="H356" s="25"/>
      <c r="I356" s="25"/>
      <c r="J356" s="25"/>
      <c r="K356" s="25"/>
      <c r="L356" s="25"/>
      <c r="M356" s="25"/>
      <c r="N356" s="25"/>
      <c r="O356" s="25"/>
      <c r="Q356" s="25"/>
      <c r="R356" s="25"/>
      <c r="S356" s="25"/>
      <c r="T356" s="25"/>
      <c r="U356" s="25"/>
      <c r="V356" s="25"/>
      <c r="X356" s="25"/>
    </row>
    <row r="357" spans="2:25" s="11" customFormat="1" x14ac:dyDescent="0.3"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Q357" s="62"/>
      <c r="R357" s="62"/>
      <c r="S357" s="62"/>
      <c r="T357" s="57"/>
      <c r="U357" s="57"/>
      <c r="V357" s="57"/>
      <c r="W357" s="57"/>
      <c r="X357" s="57"/>
    </row>
    <row r="358" spans="2:25" s="11" customFormat="1" x14ac:dyDescent="0.3"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Q358" s="62"/>
      <c r="R358" s="62"/>
      <c r="S358" s="62"/>
      <c r="T358" s="57"/>
      <c r="U358" s="57"/>
      <c r="V358" s="57"/>
      <c r="W358" s="57"/>
      <c r="X358" s="57"/>
    </row>
    <row r="359" spans="2:25" s="11" customFormat="1" x14ac:dyDescent="0.3"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Q359" s="62"/>
      <c r="R359" s="62"/>
      <c r="S359" s="62"/>
      <c r="T359" s="57"/>
      <c r="U359" s="57"/>
      <c r="V359" s="57"/>
      <c r="W359" s="57"/>
      <c r="X359" s="57"/>
    </row>
    <row r="360" spans="2:25" s="11" customFormat="1" x14ac:dyDescent="0.3"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Q360" s="62"/>
      <c r="R360" s="62"/>
      <c r="S360" s="62"/>
      <c r="T360" s="57"/>
      <c r="U360" s="57"/>
      <c r="V360" s="57"/>
      <c r="W360" s="57"/>
      <c r="X360" s="57"/>
    </row>
    <row r="361" spans="2:25" s="11" customFormat="1" x14ac:dyDescent="0.3"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Q361" s="69"/>
      <c r="R361" s="69"/>
      <c r="S361" s="69"/>
      <c r="T361" s="57"/>
      <c r="U361" s="57"/>
      <c r="V361" s="57"/>
      <c r="W361" s="57"/>
      <c r="X361" s="57"/>
    </row>
    <row r="362" spans="2:25" s="11" customFormat="1" x14ac:dyDescent="0.3">
      <c r="T362" s="57"/>
      <c r="U362" s="57"/>
      <c r="V362" s="57"/>
      <c r="W362" s="57"/>
      <c r="X362" s="57"/>
    </row>
    <row r="363" spans="2:25" s="11" customFormat="1" x14ac:dyDescent="0.3">
      <c r="B363" s="67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Q363" s="56"/>
      <c r="R363" s="56"/>
      <c r="S363" s="56"/>
      <c r="T363" s="57"/>
      <c r="U363" s="57"/>
      <c r="V363" s="57"/>
      <c r="W363" s="57"/>
      <c r="X363" s="57"/>
    </row>
    <row r="364" spans="2:25" s="58" customFormat="1" x14ac:dyDescent="0.3">
      <c r="B364" s="11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11"/>
      <c r="Q364" s="56"/>
      <c r="R364" s="56"/>
      <c r="S364" s="56"/>
      <c r="T364" s="57"/>
      <c r="U364" s="57"/>
      <c r="V364" s="57"/>
      <c r="W364" s="57"/>
      <c r="X364" s="57"/>
      <c r="Y364" s="11"/>
    </row>
    <row r="365" spans="2:25" s="58" customFormat="1" x14ac:dyDescent="0.3">
      <c r="B365" s="11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11"/>
      <c r="Q365" s="56"/>
      <c r="R365" s="56"/>
      <c r="S365" s="56"/>
      <c r="T365" s="57"/>
      <c r="U365" s="57"/>
      <c r="V365" s="57"/>
      <c r="W365" s="57"/>
      <c r="X365" s="57"/>
      <c r="Y365" s="11"/>
    </row>
    <row r="366" spans="2:25" s="11" customFormat="1" x14ac:dyDescent="0.3"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Q366" s="56"/>
      <c r="R366" s="56"/>
      <c r="S366" s="56"/>
      <c r="T366" s="57"/>
      <c r="U366" s="57"/>
      <c r="V366" s="57"/>
      <c r="W366" s="57"/>
      <c r="X366" s="57"/>
    </row>
    <row r="367" spans="2:25" s="11" customFormat="1" x14ac:dyDescent="0.3">
      <c r="B367" s="67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Q367" s="56"/>
      <c r="R367" s="56"/>
      <c r="S367" s="56"/>
      <c r="T367" s="58"/>
      <c r="U367" s="58"/>
      <c r="V367" s="58"/>
      <c r="W367" s="58"/>
      <c r="X367" s="58"/>
      <c r="Y367" s="58"/>
    </row>
    <row r="368" spans="2:25" s="11" customFormat="1" x14ac:dyDescent="0.3"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Q368" s="56"/>
      <c r="R368" s="56"/>
      <c r="S368" s="56"/>
      <c r="T368" s="57"/>
      <c r="U368" s="57"/>
      <c r="V368" s="57"/>
      <c r="W368" s="57"/>
      <c r="X368" s="57"/>
      <c r="Y368" s="58"/>
    </row>
    <row r="369" spans="2:27" s="11" customFormat="1" x14ac:dyDescent="0.3"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Q369" s="56"/>
      <c r="R369" s="56"/>
      <c r="S369" s="56"/>
      <c r="T369" s="57"/>
      <c r="U369" s="57"/>
      <c r="V369" s="57"/>
      <c r="W369" s="57"/>
      <c r="X369" s="57"/>
      <c r="Y369" s="58"/>
    </row>
    <row r="370" spans="2:27" s="11" customFormat="1" x14ac:dyDescent="0.3"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Q370" s="56"/>
      <c r="R370" s="56"/>
      <c r="S370" s="56"/>
      <c r="T370" s="57"/>
      <c r="U370" s="57"/>
      <c r="V370" s="57"/>
      <c r="W370" s="57"/>
      <c r="X370" s="57"/>
      <c r="Y370" s="58"/>
    </row>
    <row r="371" spans="2:27" s="11" customFormat="1" x14ac:dyDescent="0.3">
      <c r="B371" s="67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Q371" s="70"/>
      <c r="R371" s="70"/>
      <c r="S371" s="70"/>
      <c r="T371" s="58"/>
      <c r="U371" s="58"/>
      <c r="V371" s="58"/>
      <c r="W371" s="58"/>
      <c r="X371" s="58"/>
      <c r="Y371" s="58"/>
    </row>
    <row r="372" spans="2:27" s="11" customFormat="1" x14ac:dyDescent="0.3"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Q372" s="70"/>
      <c r="R372" s="70"/>
      <c r="S372" s="70"/>
      <c r="T372" s="57"/>
      <c r="U372" s="57"/>
      <c r="V372" s="57"/>
      <c r="W372" s="57"/>
      <c r="X372" s="57"/>
      <c r="Y372" s="58"/>
      <c r="Z372" s="25"/>
      <c r="AA372" s="25"/>
    </row>
    <row r="373" spans="2:27" s="11" customFormat="1" x14ac:dyDescent="0.3"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Q373" s="70"/>
      <c r="R373" s="70"/>
      <c r="S373" s="70"/>
      <c r="T373" s="57"/>
      <c r="U373" s="57"/>
      <c r="V373" s="57"/>
      <c r="W373" s="57"/>
      <c r="X373" s="57"/>
      <c r="Y373" s="58"/>
      <c r="Z373" s="24"/>
      <c r="AA373" s="26"/>
    </row>
    <row r="374" spans="2:27" s="11" customFormat="1" x14ac:dyDescent="0.3"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Q374" s="70"/>
      <c r="R374" s="70"/>
      <c r="S374" s="70"/>
      <c r="T374" s="57"/>
      <c r="U374" s="57"/>
      <c r="V374" s="57"/>
      <c r="W374" s="57"/>
      <c r="X374" s="57"/>
      <c r="Y374" s="58"/>
      <c r="Z374" s="24"/>
      <c r="AA374" s="26"/>
    </row>
    <row r="375" spans="2:27" s="11" customFormat="1" x14ac:dyDescent="0.3">
      <c r="B375" s="25"/>
      <c r="C375" s="25"/>
      <c r="D375" s="25"/>
      <c r="E375" s="25"/>
      <c r="F375" s="60"/>
      <c r="G375" s="60"/>
      <c r="H375" s="25"/>
      <c r="I375" s="25"/>
      <c r="J375" s="25"/>
      <c r="K375" s="25"/>
      <c r="L375" s="25"/>
      <c r="M375" s="25"/>
      <c r="N375" s="25"/>
      <c r="O375" s="25"/>
      <c r="Q375" s="25"/>
      <c r="R375" s="25"/>
      <c r="S375" s="25"/>
      <c r="T375" s="25"/>
      <c r="U375" s="25"/>
      <c r="V375" s="25"/>
      <c r="X375" s="25"/>
      <c r="Z375" s="24"/>
      <c r="AA375" s="26"/>
    </row>
    <row r="376" spans="2:27" s="11" customFormat="1" x14ac:dyDescent="0.3"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Q376" s="62"/>
      <c r="R376" s="62"/>
      <c r="S376" s="62"/>
      <c r="T376" s="57"/>
      <c r="U376" s="57"/>
      <c r="V376" s="57"/>
      <c r="W376" s="57"/>
      <c r="X376" s="57"/>
      <c r="Z376" s="24"/>
      <c r="AA376" s="26"/>
    </row>
    <row r="377" spans="2:27" s="11" customFormat="1" x14ac:dyDescent="0.3"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Q377" s="62"/>
      <c r="R377" s="62"/>
      <c r="S377" s="62"/>
      <c r="T377" s="57"/>
      <c r="U377" s="57"/>
      <c r="V377" s="57"/>
      <c r="W377" s="57"/>
      <c r="X377" s="57"/>
    </row>
    <row r="378" spans="2:27" s="11" customFormat="1" x14ac:dyDescent="0.3"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Q378" s="62"/>
      <c r="R378" s="62"/>
      <c r="S378" s="62"/>
      <c r="T378" s="57"/>
      <c r="U378" s="57"/>
      <c r="V378" s="57"/>
      <c r="W378" s="57"/>
      <c r="X378" s="57"/>
    </row>
    <row r="379" spans="2:27" s="11" customFormat="1" x14ac:dyDescent="0.3"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Q379" s="62"/>
      <c r="R379" s="62"/>
      <c r="S379" s="62"/>
      <c r="T379" s="57"/>
      <c r="U379" s="57"/>
      <c r="V379" s="57"/>
      <c r="W379" s="57"/>
      <c r="X379" s="57"/>
    </row>
    <row r="380" spans="2:27" s="11" customFormat="1" x14ac:dyDescent="0.3"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Q380" s="69"/>
      <c r="R380" s="69"/>
      <c r="S380" s="69"/>
    </row>
    <row r="381" spans="2:27" s="11" customFormat="1" x14ac:dyDescent="0.3">
      <c r="B381" s="25"/>
      <c r="C381" s="25"/>
      <c r="D381" s="25"/>
      <c r="E381" s="25"/>
      <c r="F381" s="60"/>
      <c r="G381" s="60"/>
      <c r="H381" s="25"/>
      <c r="I381" s="25"/>
      <c r="J381" s="25"/>
      <c r="K381" s="25"/>
      <c r="L381" s="25"/>
      <c r="M381" s="25"/>
      <c r="N381" s="25"/>
      <c r="O381" s="25"/>
      <c r="Q381" s="25"/>
      <c r="R381" s="25"/>
      <c r="S381" s="25"/>
      <c r="T381" s="25"/>
      <c r="U381" s="25"/>
      <c r="V381" s="25"/>
      <c r="X381" s="25"/>
      <c r="Y381" s="25"/>
      <c r="Z381" s="25"/>
    </row>
    <row r="382" spans="2:27" s="11" customFormat="1" x14ac:dyDescent="0.3"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Q382" s="62"/>
      <c r="R382" s="62"/>
      <c r="S382" s="62"/>
      <c r="T382" s="57"/>
      <c r="U382" s="57"/>
      <c r="V382" s="57"/>
      <c r="W382" s="57"/>
      <c r="X382" s="71"/>
      <c r="Y382" s="35"/>
      <c r="Z382" s="72"/>
    </row>
    <row r="383" spans="2:27" s="11" customFormat="1" x14ac:dyDescent="0.3"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Q383" s="62"/>
      <c r="R383" s="62"/>
      <c r="S383" s="62"/>
      <c r="T383" s="57"/>
      <c r="U383" s="57"/>
      <c r="V383" s="57"/>
      <c r="W383" s="57"/>
      <c r="X383" s="71"/>
      <c r="Y383" s="35"/>
      <c r="Z383" s="72"/>
    </row>
    <row r="384" spans="2:27" s="11" customFormat="1" x14ac:dyDescent="0.3"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Q384" s="62"/>
      <c r="R384" s="62"/>
      <c r="S384" s="62"/>
      <c r="T384" s="57"/>
      <c r="U384" s="57"/>
      <c r="V384" s="57"/>
      <c r="W384" s="57"/>
      <c r="X384" s="71"/>
      <c r="Y384" s="35"/>
      <c r="Z384" s="72"/>
    </row>
    <row r="385" spans="2:26" s="11" customFormat="1" x14ac:dyDescent="0.3"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Q385" s="62"/>
      <c r="R385" s="62"/>
      <c r="S385" s="62"/>
      <c r="T385" s="57"/>
      <c r="U385" s="57"/>
      <c r="V385" s="57"/>
      <c r="W385" s="57"/>
      <c r="X385" s="71"/>
      <c r="Y385" s="35"/>
      <c r="Z385" s="72"/>
    </row>
    <row r="386" spans="2:26" s="11" customFormat="1" x14ac:dyDescent="0.3"/>
    <row r="387" spans="2:26" s="11" customFormat="1" x14ac:dyDescent="0.3"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Q387" s="29"/>
      <c r="R387" s="29"/>
      <c r="S387" s="29"/>
      <c r="T387" s="28"/>
      <c r="U387" s="28"/>
      <c r="V387" s="28"/>
      <c r="X387" s="27"/>
    </row>
    <row r="388" spans="2:26" s="11" customFormat="1" x14ac:dyDescent="0.3"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Q388" s="29"/>
      <c r="R388" s="29"/>
      <c r="S388" s="29"/>
      <c r="T388" s="28"/>
      <c r="U388" s="28"/>
      <c r="V388" s="28"/>
      <c r="X388" s="27"/>
    </row>
    <row r="389" spans="2:26" s="11" customFormat="1" x14ac:dyDescent="0.3"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Q389" s="29"/>
      <c r="R389" s="29"/>
      <c r="S389" s="29"/>
      <c r="T389" s="28"/>
      <c r="U389" s="28"/>
      <c r="V389" s="28"/>
      <c r="X389" s="27"/>
    </row>
    <row r="390" spans="2:26" s="11" customFormat="1" x14ac:dyDescent="0.3"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Q390" s="29"/>
      <c r="R390" s="29"/>
      <c r="S390" s="29"/>
      <c r="T390" s="28"/>
      <c r="U390" s="28"/>
      <c r="V390" s="28"/>
      <c r="X390" s="27"/>
    </row>
    <row r="391" spans="2:26" s="11" customFormat="1" x14ac:dyDescent="0.3"/>
    <row r="392" spans="2:26" s="11" customFormat="1" x14ac:dyDescent="0.3">
      <c r="B392" s="34"/>
      <c r="C392" s="25"/>
      <c r="D392" s="25"/>
      <c r="E392" s="25"/>
      <c r="F392" s="60"/>
      <c r="G392" s="60"/>
      <c r="H392" s="25"/>
      <c r="I392" s="25"/>
      <c r="J392" s="25"/>
      <c r="K392" s="25"/>
      <c r="L392" s="25"/>
      <c r="M392" s="25"/>
      <c r="N392" s="25"/>
      <c r="O392" s="25"/>
      <c r="Q392" s="25"/>
      <c r="R392" s="25"/>
      <c r="S392" s="25"/>
      <c r="T392" s="25"/>
      <c r="U392" s="25"/>
      <c r="V392" s="25"/>
      <c r="X392" s="54"/>
    </row>
    <row r="393" spans="2:26" s="11" customFormat="1" x14ac:dyDescent="0.3"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Q393" s="53"/>
      <c r="R393" s="53"/>
      <c r="S393" s="53"/>
      <c r="X393" s="54"/>
    </row>
    <row r="394" spans="2:26" s="11" customFormat="1" x14ac:dyDescent="0.3"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Q394" s="53"/>
      <c r="R394" s="53"/>
      <c r="S394" s="53"/>
      <c r="X394" s="54"/>
    </row>
    <row r="395" spans="2:26" s="11" customFormat="1" x14ac:dyDescent="0.3"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Q395" s="53"/>
      <c r="R395" s="53"/>
      <c r="S395" s="53"/>
      <c r="X395" s="54"/>
    </row>
    <row r="396" spans="2:26" s="11" customFormat="1" x14ac:dyDescent="0.3"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Q396" s="53"/>
      <c r="R396" s="53"/>
      <c r="S396" s="53"/>
      <c r="X396" s="54"/>
    </row>
    <row r="397" spans="2:26" s="11" customFormat="1" x14ac:dyDescent="0.3">
      <c r="B397" s="34"/>
    </row>
    <row r="398" spans="2:26" s="11" customFormat="1" x14ac:dyDescent="0.3">
      <c r="B398" s="34"/>
      <c r="X398" s="54"/>
    </row>
    <row r="399" spans="2:26" s="11" customFormat="1" x14ac:dyDescent="0.3"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Q399" s="53"/>
      <c r="R399" s="53"/>
      <c r="S399" s="53"/>
      <c r="X399" s="54"/>
    </row>
    <row r="400" spans="2:26" s="11" customFormat="1" x14ac:dyDescent="0.3"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Q400" s="53"/>
      <c r="R400" s="53"/>
      <c r="S400" s="53"/>
      <c r="X400" s="54"/>
    </row>
    <row r="401" spans="2:26" s="11" customFormat="1" x14ac:dyDescent="0.3"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Q401" s="53"/>
      <c r="R401" s="53"/>
      <c r="S401" s="53"/>
      <c r="X401" s="54"/>
    </row>
    <row r="402" spans="2:26" s="11" customFormat="1" x14ac:dyDescent="0.3"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Q402" s="53"/>
      <c r="R402" s="53"/>
      <c r="S402" s="53"/>
      <c r="X402" s="54"/>
    </row>
    <row r="403" spans="2:26" s="11" customFormat="1" x14ac:dyDescent="0.3">
      <c r="B403" s="34"/>
    </row>
    <row r="404" spans="2:26" s="11" customFormat="1" x14ac:dyDescent="0.3">
      <c r="B404" s="34"/>
      <c r="Y404" s="70"/>
      <c r="Z404" s="61"/>
    </row>
    <row r="405" spans="2:26" s="11" customFormat="1" x14ac:dyDescent="0.3"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Q405" s="53"/>
      <c r="R405" s="53"/>
      <c r="S405" s="53"/>
      <c r="X405" s="73"/>
      <c r="Y405" s="54"/>
      <c r="Z405" s="54"/>
    </row>
    <row r="406" spans="2:26" s="11" customFormat="1" x14ac:dyDescent="0.3"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Q406" s="53"/>
      <c r="R406" s="53"/>
      <c r="S406" s="53"/>
      <c r="X406" s="73"/>
      <c r="Y406" s="54"/>
      <c r="Z406" s="54"/>
    </row>
    <row r="407" spans="2:26" s="11" customFormat="1" x14ac:dyDescent="0.3"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Q407" s="53"/>
      <c r="R407" s="53"/>
      <c r="S407" s="53"/>
      <c r="X407" s="73"/>
      <c r="Y407" s="54"/>
      <c r="Z407" s="54"/>
    </row>
    <row r="408" spans="2:26" s="11" customFormat="1" x14ac:dyDescent="0.3"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Q408" s="53"/>
      <c r="R408" s="53"/>
      <c r="S408" s="53"/>
      <c r="X408" s="73"/>
      <c r="Y408" s="54"/>
      <c r="Z408" s="54"/>
    </row>
    <row r="409" spans="2:26" s="11" customFormat="1" x14ac:dyDescent="0.3"/>
    <row r="410" spans="2:26" s="11" customFormat="1" x14ac:dyDescent="0.3"/>
    <row r="411" spans="2:26" s="11" customFormat="1" x14ac:dyDescent="0.3"/>
    <row r="412" spans="2:26" s="11" customFormat="1" x14ac:dyDescent="0.3"/>
    <row r="413" spans="2:26" s="11" customFormat="1" x14ac:dyDescent="0.3"/>
    <row r="414" spans="2:26" s="11" customFormat="1" x14ac:dyDescent="0.3"/>
    <row r="415" spans="2:26" s="11" customFormat="1" x14ac:dyDescent="0.3"/>
    <row r="416" spans="2:26" s="11" customFormat="1" x14ac:dyDescent="0.3"/>
    <row r="417" s="11" customFormat="1" x14ac:dyDescent="0.3"/>
    <row r="418" s="11" customFormat="1" x14ac:dyDescent="0.3"/>
    <row r="419" s="11" customFormat="1" x14ac:dyDescent="0.3"/>
    <row r="420" s="11" customFormat="1" x14ac:dyDescent="0.3"/>
    <row r="421" s="11" customFormat="1" x14ac:dyDescent="0.3"/>
    <row r="422" s="11" customFormat="1" x14ac:dyDescent="0.3"/>
    <row r="423" s="11" customFormat="1" x14ac:dyDescent="0.3"/>
    <row r="424" s="11" customFormat="1" x14ac:dyDescent="0.3"/>
    <row r="425" s="11" customFormat="1" x14ac:dyDescent="0.3"/>
    <row r="426" s="11" customFormat="1" x14ac:dyDescent="0.3"/>
    <row r="427" s="11" customFormat="1" x14ac:dyDescent="0.3"/>
    <row r="428" s="11" customFormat="1" x14ac:dyDescent="0.3"/>
    <row r="429" s="11" customFormat="1" x14ac:dyDescent="0.3"/>
    <row r="430" s="11" customFormat="1" x14ac:dyDescent="0.3"/>
    <row r="431" s="11" customFormat="1" x14ac:dyDescent="0.3"/>
    <row r="432" s="11" customFormat="1" x14ac:dyDescent="0.3"/>
    <row r="433" s="11" customFormat="1" x14ac:dyDescent="0.3"/>
    <row r="434" s="11" customFormat="1" x14ac:dyDescent="0.3"/>
    <row r="435" s="11" customFormat="1" x14ac:dyDescent="0.3"/>
    <row r="436" s="11" customFormat="1" x14ac:dyDescent="0.3"/>
    <row r="437" s="11" customFormat="1" x14ac:dyDescent="0.3"/>
    <row r="438" s="11" customFormat="1" x14ac:dyDescent="0.3"/>
    <row r="439" s="11" customFormat="1" x14ac:dyDescent="0.3"/>
    <row r="440" s="11" customFormat="1" x14ac:dyDescent="0.3"/>
    <row r="441" s="11" customFormat="1" x14ac:dyDescent="0.3"/>
    <row r="442" s="11" customFormat="1" x14ac:dyDescent="0.3"/>
    <row r="443" s="11" customFormat="1" x14ac:dyDescent="0.3"/>
    <row r="444" s="11" customFormat="1" x14ac:dyDescent="0.3"/>
    <row r="445" s="11" customFormat="1" x14ac:dyDescent="0.3"/>
    <row r="446" s="11" customFormat="1" x14ac:dyDescent="0.3"/>
    <row r="447" s="11" customFormat="1" x14ac:dyDescent="0.3"/>
    <row r="448" s="11" customFormat="1" x14ac:dyDescent="0.3"/>
    <row r="449" s="11" customFormat="1" x14ac:dyDescent="0.3"/>
    <row r="450" s="11" customFormat="1" x14ac:dyDescent="0.3"/>
    <row r="451" s="11" customFormat="1" x14ac:dyDescent="0.3"/>
    <row r="452" s="11" customFormat="1" x14ac:dyDescent="0.3"/>
    <row r="453" s="11" customFormat="1" x14ac:dyDescent="0.3"/>
    <row r="454" s="11" customFormat="1" x14ac:dyDescent="0.3"/>
    <row r="455" s="11" customFormat="1" x14ac:dyDescent="0.3"/>
    <row r="456" s="11" customFormat="1" x14ac:dyDescent="0.3"/>
    <row r="457" s="11" customFormat="1" x14ac:dyDescent="0.3"/>
    <row r="458" s="11" customFormat="1" x14ac:dyDescent="0.3"/>
    <row r="459" s="11" customFormat="1" x14ac:dyDescent="0.3"/>
    <row r="460" s="11" customFormat="1" x14ac:dyDescent="0.3"/>
    <row r="461" s="11" customFormat="1" x14ac:dyDescent="0.3"/>
    <row r="462" s="11" customFormat="1" x14ac:dyDescent="0.3"/>
    <row r="463" s="11" customFormat="1" x14ac:dyDescent="0.3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Background</vt:lpstr>
      <vt:lpstr>Inputs_Summary</vt:lpstr>
      <vt:lpstr>HC-BC</vt:lpstr>
      <vt:lpstr>HC-UCBC</vt:lpstr>
      <vt:lpstr>HC-CB</vt:lpstr>
      <vt:lpstr>O-LC_DS</vt:lpstr>
      <vt:lpstr>O-DC_DS</vt:lpstr>
      <vt:lpstr>O-LC_DS-Exp</vt:lpstr>
      <vt:lpstr>O-BC-LowD</vt:lpstr>
      <vt:lpstr>O-UCBC-LowD</vt:lpstr>
      <vt:lpstr>O-LC_DS-LowD</vt:lpstr>
      <vt:lpstr>NuclearPhasing</vt:lpstr>
    </vt:vector>
  </TitlesOfParts>
  <Company>CSIR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JWright</dc:creator>
  <cp:lastModifiedBy>TDimpe</cp:lastModifiedBy>
  <cp:lastPrinted>2017-03-06T14:55:41Z</cp:lastPrinted>
  <dcterms:created xsi:type="dcterms:W3CDTF">2016-12-05T12:38:31Z</dcterms:created>
  <dcterms:modified xsi:type="dcterms:W3CDTF">2017-04-03T06:51:51Z</dcterms:modified>
</cp:coreProperties>
</file>